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I:\Group Projects\FI_Communication\Factbook\2022\"/>
    </mc:Choice>
  </mc:AlternateContent>
  <xr:revisionPtr revIDLastSave="0" documentId="13_ncr:1_{957F78AA-F25D-41AF-85C4-4EBF35A3D2AC}" xr6:coauthVersionLast="47" xr6:coauthVersionMax="47" xr10:uidLastSave="{00000000-0000-0000-0000-000000000000}"/>
  <bookViews>
    <workbookView xWindow="54600" yWindow="0" windowWidth="25800" windowHeight="21000"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Segments" sheetId="124" r:id="rId14"/>
    <sheet name="Disclaimer" sheetId="120" r:id="rId15"/>
    <sheet name="KFI old" sheetId="83" state="hidden" r:id="rId16"/>
    <sheet name="P&amp;L_Q (2) old" sheetId="75" state="hidden" r:id="rId17"/>
    <sheet name="FTE´S old" sheetId="31" state="hidden" r:id="rId18"/>
    <sheet name="LB_Q old" sheetId="61" state="hidden" r:id="rId19"/>
  </sheets>
  <externalReferences>
    <externalReference r:id="rId20"/>
    <externalReference r:id="rId21"/>
    <externalReference r:id="rId22"/>
    <externalReference r:id="rId23"/>
    <externalReference r:id="rId24"/>
    <externalReference r:id="rId25"/>
  </externalReferences>
  <definedNames>
    <definedName name="af" localSheetId="0">[1]Rekstur!$A$3:$H$183</definedName>
    <definedName name="af">[2]Rekstur!$A$3:$H$183</definedName>
    <definedName name="AS2DocOpenMode" hidden="1">"AS2DocumentEdit"</definedName>
    <definedName name="AS2HasNoAutoHeaderFooter">"OFF"</definedName>
    <definedName name="Budgetdiv3" localSheetId="15">#REF!</definedName>
    <definedName name="Budgetdiv3" localSheetId="16">#REF!</definedName>
    <definedName name="CompNameConsol" localSheetId="0">[3]Lookup!$B$500:$B$644</definedName>
    <definedName name="CompNameConsol">[4]Lookup!$B$500:$B$644</definedName>
    <definedName name="ConsolKeys" localSheetId="0">[3]Lookup!$A$453:$A$490</definedName>
    <definedName name="ConsolKeys">[4]Lookup!$A$453:$A$490</definedName>
    <definedName name="curr_date" localSheetId="15">#REF!</definedName>
    <definedName name="curr_date" localSheetId="18">#REF!</definedName>
    <definedName name="curr_date" localSheetId="16">'P&amp;L_Q (2) old'!$O$28</definedName>
    <definedName name="Curr_per" localSheetId="15">#REF!</definedName>
    <definedName name="Curr_per" localSheetId="18">#REF!</definedName>
    <definedName name="Curr_per" localSheetId="16">'P&amp;L_Q (2) old'!#REF!</definedName>
    <definedName name="Current" localSheetId="15">#REF!</definedName>
    <definedName name="Current" localSheetId="18">#REF!</definedName>
    <definedName name="Current" localSheetId="16">'P&amp;L_Q (2) old'!#REF!</definedName>
    <definedName name="match200503">"'200503'!$3:$3"</definedName>
    <definedName name="match200506">"'200506'!$3:$3"</definedName>
    <definedName name="match200509">"'200509'!$3:$3"</definedName>
    <definedName name="period" localSheetId="0">[1]Setup!$C$2</definedName>
    <definedName name="period">[2]Setup!$C$2</definedName>
    <definedName name="Prev_date" localSheetId="15">#REF!</definedName>
    <definedName name="Prev_date" localSheetId="18">#REF!</definedName>
    <definedName name="Prev_date" localSheetId="16">'P&amp;L_Q (2) old'!$O$29</definedName>
    <definedName name="Prev_per" localSheetId="15">#REF!</definedName>
    <definedName name="Prev_per" localSheetId="18">#REF!</definedName>
    <definedName name="Prev_per" localSheetId="16">'P&amp;L_Q (2) old'!#REF!</definedName>
    <definedName name="_xlnm.Print_Area" localSheetId="3">'Balance sheet 5 years'!$A$1:$F$39</definedName>
    <definedName name="_xlnm.Print_Area" localSheetId="9">'Balance sheet 9 quarters'!$A$1:$J$38</definedName>
    <definedName name="_xlnm.Print_Area" localSheetId="6">'Capital 5 years'!$A$1:$F$55</definedName>
    <definedName name="_xlnm.Print_Area" localSheetId="12">'Capital 9 quarters'!$A$1:$J$54</definedName>
    <definedName name="_xlnm.Print_Area" localSheetId="0">Cover!$A$1:$N$60</definedName>
    <definedName name="_xlnm.Print_Area" localSheetId="14">Disclaimer!$A$1:$F$30</definedName>
    <definedName name="_xlnm.Print_Area" localSheetId="2">'Income statement 5 years'!$A$1:$F$35</definedName>
    <definedName name="_xlnm.Print_Area" localSheetId="8">'Income statement 9 quarters'!$A$1:$J$36</definedName>
    <definedName name="_xlnm.Print_Area" localSheetId="1">'KFI 5 Years'!$A$1:$F$44</definedName>
    <definedName name="_xlnm.Print_Area" localSheetId="7">'KFI 9 quarters'!$A$1:$J$45</definedName>
    <definedName name="_xlnm.Print_Area" localSheetId="5">'Loans to customers 5 years'!$A$1:$F$45</definedName>
    <definedName name="_xlnm.Print_Area" localSheetId="11">'Loans to customers 9 - quarters'!$A$2:$J$40</definedName>
    <definedName name="_xlnm.Print_Area" localSheetId="4">'Net interest income 5 years'!$A$1:$F$39</definedName>
    <definedName name="_xlnm.Print_Area" localSheetId="10">'Net interest income 9 quarters'!$A$1:$J$39</definedName>
    <definedName name="_xlnm.Print_Area" localSheetId="13">Segments!$A$2:$L$145</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_xlnm.Print_Titles" localSheetId="13">Segments!$2:$4</definedName>
    <definedName name="Rek2010month" localSheetId="0">[5]Month!$A$19:$P$211</definedName>
    <definedName name="Rek2010month">[6]Month!$A$19:$P$211</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<sst xmlns="http://schemas.openxmlformats.org/spreadsheetml/2006/main" count="1176" uniqueCount="456">
  <si>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</si>
  <si>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</si>
  <si>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</si>
  <si>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</si>
  <si>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</si>
  <si>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</si>
  <si>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</si>
  <si>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</si>
  <si>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</si>
  <si>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</si>
  <si>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</si>
  <si>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</si>
  <si>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</si>
  <si>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</si>
  <si>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</si>
  <si>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</si>
  <si>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</si>
  <si>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</si>
  <si>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</si>
  <si>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</si>
  <si>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</si>
  <si>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</si>
  <si>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</si>
  <si>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</si>
  <si>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</si>
  <si>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</si>
  <si>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</si>
  <si>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</si>
  <si>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</si>
  <si>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</si>
  <si>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</si>
  <si>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</si>
  <si>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</si>
  <si>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</si>
  <si>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</si>
  <si>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</si>
  <si>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</si>
  <si>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</si>
  <si>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</si>
  <si>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</si>
  <si>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</si>
  <si>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</si>
  <si>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</si>
  <si>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</si>
  <si>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</si>
  <si>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</si>
  <si>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</si>
  <si>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</si>
  <si>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</si>
  <si>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</si>
  <si>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</si>
  <si>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</si>
  <si>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</si>
  <si>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</si>
  <si>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</si>
  <si>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</si>
  <si>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</si>
  <si>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</si>
  <si>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</si>
  <si>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</si>
  <si>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</si>
  <si>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</si>
  <si>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</si>
  <si>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</si>
  <si>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</si>
  <si>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</si>
  <si>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</si>
  <si>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</si>
  <si>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</si>
  <si>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</si>
  <si>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</si>
  <si>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</si>
  <si>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</si>
  <si>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</si>
  <si>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</si>
  <si>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</si>
  <si>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</si>
  <si>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</si>
  <si>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</si>
  <si>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</si>
  <si>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</si>
  <si>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</si>
  <si>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</si>
  <si>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</si>
  <si>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</si>
  <si>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</si>
  <si>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</si>
  <si>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</si>
  <si>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</si>
  <si>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</si>
  <si>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</si>
  <si>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</si>
  <si>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</si>
  <si>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</si>
  <si>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</si>
  <si>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</si>
  <si>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</si>
  <si>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</si>
  <si>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</si>
  <si>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</si>
  <si>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</si>
  <si>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</si>
  <si>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</si>
  <si>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</si>
  <si>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</si>
  <si>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</si>
  <si>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</si>
  <si>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</si>
  <si>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</si>
  <si>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</si>
  <si>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</si>
  <si>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</si>
  <si>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</si>
  <si>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</si>
  <si>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</si>
  <si>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</si>
  <si>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</si>
  <si>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</si>
  <si>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</si>
  <si>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</si>
  <si>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</si>
  <si>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</si>
  <si>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</si>
  <si>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</si>
  <si>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</si>
  <si>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</si>
  <si>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</si>
  <si>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</si>
  <si>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</si>
  <si>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</si>
  <si>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</si>
  <si>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</si>
  <si>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</si>
  <si>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</si>
  <si>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</si>
  <si>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</si>
  <si>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</si>
  <si>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</si>
  <si>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</si>
  <si>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</si>
  <si>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</si>
  <si>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</si>
  <si>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</si>
  <si>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</si>
  <si>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</si>
  <si>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</si>
  <si>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</si>
  <si>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</si>
  <si>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</si>
  <si>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</si>
  <si>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</si>
  <si>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</si>
  <si>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</si>
  <si>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</si>
  <si>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</si>
  <si>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</si>
  <si>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</si>
  <si>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</si>
  <si>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</si>
  <si>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</si>
  <si>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</si>
  <si>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</si>
  <si>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</si>
  <si>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</si>
  <si>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</si>
  <si>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</si>
  <si>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</si>
  <si>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</si>
  <si>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</si>
  <si>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</si>
  <si>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</si>
  <si>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</si>
  <si>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</si>
  <si>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</si>
  <si>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</si>
  <si>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</si>
  <si>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</si>
  <si>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</si>
  <si>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</si>
  <si>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</si>
  <si>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</si>
  <si>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</si>
  <si>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</si>
  <si>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</si>
  <si>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</si>
  <si>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</si>
  <si>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</si>
  <si>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</si>
  <si>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</si>
  <si>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</si>
  <si>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</si>
  <si>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</si>
  <si>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</si>
  <si>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</si>
  <si>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</si>
  <si>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</si>
  <si>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</si>
  <si>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</si>
  <si>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</si>
  <si>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</si>
  <si>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</si>
  <si>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</si>
  <si>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</si>
  <si>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</si>
  <si>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</si>
  <si>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</si>
  <si>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</si>
  <si>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</si>
  <si>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</si>
  <si>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</si>
  <si>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</si>
  <si>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</si>
  <si>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</si>
  <si>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</si>
  <si>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</si>
  <si>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</si>
  <si>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</si>
  <si>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</si>
  <si>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</si>
  <si>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</si>
  <si>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</si>
  <si>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</si>
  <si>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</si>
  <si>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</si>
  <si>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</si>
  <si>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</si>
  <si>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</si>
  <si>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</si>
  <si>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</si>
  <si>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</si>
  <si>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</si>
  <si>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</si>
  <si>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</si>
  <si>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</si>
  <si>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</si>
  <si>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</si>
  <si>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</si>
  <si>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</si>
  <si>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</si>
  <si>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</si>
  <si>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</si>
  <si>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</si>
  <si>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</si>
  <si>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</si>
  <si>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</si>
  <si>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</si>
  <si>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</si>
  <si>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</si>
  <si>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</si>
  <si>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</si>
  <si>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</si>
  <si>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</si>
  <si>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</si>
  <si>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</si>
  <si>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</si>
  <si>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</si>
  <si>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</si>
  <si>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</si>
  <si>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</si>
  <si>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</si>
  <si>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</si>
  <si>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</si>
  <si>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</si>
  <si>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</si>
  <si>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</si>
  <si>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</si>
  <si>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</si>
  <si>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</si>
  <si>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</si>
  <si>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</si>
  <si>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Q1 2018</t>
  </si>
  <si>
    <t>Q1 2019</t>
  </si>
  <si>
    <t>Q3 2019</t>
  </si>
  <si>
    <t>Q4 2019</t>
  </si>
  <si>
    <t>Q1 2020</t>
  </si>
  <si>
    <t>Q2 2020</t>
  </si>
  <si>
    <t>Q3 2020</t>
  </si>
  <si>
    <t>Q4 2020</t>
  </si>
  <si>
    <t>Q4 13</t>
  </si>
  <si>
    <t>Q1 14</t>
  </si>
  <si>
    <t>Q2 14</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</si>
  <si>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</si>
  <si>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</si>
  <si>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</si>
  <si>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</si>
  <si>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</si>
  <si>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</si>
  <si>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</si>
  <si>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</si>
  <si>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</si>
  <si>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</si>
  <si>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</si>
  <si>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</si>
  <si>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</si>
  <si>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</si>
  <si>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</si>
  <si>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</si>
  <si>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</si>
  <si>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</si>
  <si>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</si>
  <si>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</si>
  <si>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</si>
  <si>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</si>
  <si>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</si>
  <si>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</si>
  <si>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</si>
  <si>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</si>
  <si>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</si>
  <si>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</si>
  <si>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</si>
  <si>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</si>
  <si>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</si>
  <si>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</si>
  <si>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</si>
  <si>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Total comprehensive income for the period</t>
  </si>
  <si>
    <t>ISK million</t>
  </si>
  <si>
    <t>Net fee and commission income</t>
  </si>
  <si>
    <t>Fee and commission income</t>
  </si>
  <si>
    <t>Fee and commission expense</t>
  </si>
  <si>
    <t>Net impairment</t>
  </si>
  <si>
    <t>Attributable to</t>
  </si>
  <si>
    <t>Non-controlling interest</t>
  </si>
  <si>
    <t>Earnings per share from continuing operations</t>
  </si>
  <si>
    <t>Basic and diluted earnings per share attributable to the</t>
  </si>
  <si>
    <t>shareholders of Arion Bank (ISK)</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</si>
  <si>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</si>
  <si>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</si>
  <si>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</si>
  <si>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</si>
  <si>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</si>
  <si>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</si>
  <si>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</si>
  <si>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</si>
  <si>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</si>
  <si>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Capital</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</si>
  <si>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</si>
  <si>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</si>
  <si>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</si>
  <si>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</si>
  <si>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</si>
  <si>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</si>
  <si>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</si>
  <si>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</si>
  <si>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</si>
  <si>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</si>
  <si>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</si>
  <si>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</si>
  <si>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</si>
  <si>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Real estate activities and construction</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</si>
  <si>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</si>
  <si>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</si>
  <si>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</si>
  <si>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</si>
  <si>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</si>
  <si>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</si>
  <si>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</si>
  <si>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</si>
  <si>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</si>
  <si>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</si>
  <si>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</si>
  <si>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</si>
  <si>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</si>
  <si>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</si>
  <si>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</si>
  <si>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</si>
  <si>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</si>
  <si>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</si>
  <si>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</si>
  <si>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</si>
  <si>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</si>
  <si>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</si>
  <si>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</si>
  <si>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</si>
  <si>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</si>
  <si>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</si>
  <si>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</si>
  <si>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</si>
  <si>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</si>
  <si>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</si>
  <si>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</si>
  <si>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</si>
  <si>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</si>
  <si>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Share of profit of associates</t>
  </si>
  <si>
    <t>Tier 2 Capital</t>
  </si>
  <si>
    <t>Capital base:</t>
  </si>
  <si>
    <t>Total comprehensive income</t>
  </si>
  <si>
    <t>Credit Risk, loans</t>
  </si>
  <si>
    <t>Credit valuation adjustment</t>
  </si>
  <si>
    <t>Credit Risk, securities and other</t>
  </si>
  <si>
    <t>General credit risk adjustments</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</si>
  <si>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</si>
  <si>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</si>
  <si>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</si>
  <si>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</si>
  <si>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</si>
  <si>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</si>
  <si>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</si>
  <si>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</si>
  <si>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Deductions related to the consolidated situation</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</si>
  <si>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</si>
  <si>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</si>
  <si>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</si>
  <si>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</si>
  <si>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</si>
  <si>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</si>
  <si>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Total operating income</t>
  </si>
  <si>
    <t>Allocated expenses</t>
  </si>
  <si>
    <t>Bank levy</t>
  </si>
  <si>
    <t>Earnings before income tax</t>
  </si>
  <si>
    <t>Additional Tier 1 capital</t>
  </si>
  <si>
    <t>REA/Total assets</t>
  </si>
  <si>
    <t>Risk weighted exposure amount (REA)</t>
  </si>
  <si>
    <t>Total risk weighted exposure amount</t>
  </si>
  <si>
    <t>Operating segments - Quarters summary</t>
  </si>
  <si>
    <t>Markets and Stefnir:</t>
  </si>
  <si>
    <t>Allocated equity</t>
  </si>
  <si>
    <t>Treasury and Market making:</t>
  </si>
  <si>
    <t>Supporting units and eliminations:</t>
  </si>
  <si>
    <t>Net interest income (expense)</t>
  </si>
  <si>
    <t>Net fee and commission income (expense)</t>
  </si>
  <si>
    <t>Share of profit (loss) of associates</t>
  </si>
  <si>
    <t>Other operating income (loss)</t>
  </si>
  <si>
    <t>Total operating income (loss)</t>
  </si>
  <si>
    <t>Earnings (loss) before income tax</t>
  </si>
  <si>
    <t>Net financial income (loss)</t>
  </si>
  <si>
    <t>Net interest income (loss)</t>
  </si>
  <si>
    <t>Net insurance income (expense)</t>
  </si>
  <si>
    <t>Net financial (loss) income</t>
  </si>
  <si>
    <t>Share of (loss) profit of associates</t>
  </si>
  <si>
    <t>Other net operating income / loss</t>
  </si>
  <si>
    <t>Earnings / loss before tax</t>
  </si>
  <si>
    <t>Net earnings / loss from continuing operations</t>
  </si>
  <si>
    <t>Discontinued operations held for sale, net of income tax</t>
  </si>
  <si>
    <t>Net earnings / loss</t>
  </si>
  <si>
    <t>Adjustment under IFRS 9 transitional arrangements</t>
  </si>
  <si>
    <t>Return on REA</t>
  </si>
  <si>
    <t>Unaudited interim net earnings</t>
  </si>
  <si>
    <t>Q1 2021</t>
  </si>
  <si>
    <t>Q2 2021</t>
  </si>
  <si>
    <t>Q3 2021</t>
  </si>
  <si>
    <t>Q4 2021</t>
  </si>
  <si>
    <t>Total own funds</t>
  </si>
  <si>
    <t>Tier 2 instruments</t>
  </si>
  <si>
    <t>Tier 2 instruments of financial sector entities (signif. invest.)</t>
  </si>
  <si>
    <t>Capital ratios*</t>
  </si>
  <si>
    <t>Q1 2022</t>
  </si>
  <si>
    <t>*Capital ratios include interim profit in Q1 and Q3 figures</t>
  </si>
  <si>
    <t>Non-controlling interest eligible for inclusion in CET1 capital</t>
  </si>
  <si>
    <t>Operating income / Risk exposure amount</t>
  </si>
  <si>
    <t>Return on risk exposure amount</t>
  </si>
  <si>
    <t>Subsidiaries excluding Stefnir and Vördur:</t>
  </si>
  <si>
    <t>Vördur*:</t>
  </si>
  <si>
    <t>Corporate &amp; Investment Bank including insurance*:</t>
  </si>
  <si>
    <t>Retail Bank including insurance*:</t>
  </si>
  <si>
    <t>*From Q1 2022 the operation of Vördur has been split into individuals and corporates and is presented as such as part of Corporate &amp; Investment Banking and Retail banking, respectively</t>
  </si>
  <si>
    <t>*Capital ratios include interim profit in Q1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</si>
</sst>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0" formatCode="#,##0\ ;\(#,##0\);&quot;-&quot;\ "/>
    <numFmt numFmtId="191" formatCode="0.0"/>
    <numFmt numFmtId="192" formatCode="#,##0.0\ ;\(#,##0.0\);&quot;-&quot;\ "/>
    <numFmt numFmtId="193" formatCode="#,##0%;\(#,##0%\)"/>
    <numFmt numFmtId="194" formatCode="0\ \ "/>
    <numFmt numFmtId="195" formatCode="0.0%;\(0.0%\)"/>
    <numFmt numFmtId="196" formatCode="dd\.mmmm\.yyyy"/>
    <numFmt numFmtId="197" formatCode="#,##0\ &quot;£&quot;_);[Red]\(* #,##0\ &quot;£&quot;\)"/>
    <numFmt numFmtId="198" formatCode="0%;\(0%\)"/>
    <numFmt numFmtId="199" formatCode="#,##0_);\(#,##0_)"/>
    <numFmt numFmtId="200" formatCode="#,##0.\-"/>
    <numFmt numFmtId="201" formatCode="#,##0,,;[Blue]\-#,##0,,"/>
    <numFmt numFmtId="202" formatCode="#,##0,,;[Red]\-#,##0,,"/>
    <numFmt numFmtId="203" formatCode="#,##0;\ \(#,##0\)"/>
    <numFmt numFmtId="204" formatCode="#,##0\ \ ;\ \(#,##0\)"/>
    <numFmt numFmtId="205" formatCode="#,##0;[Red]&quot;-&quot;#,##0"/>
    <numFmt numFmtId="206" formatCode="[$-409]dd/mmm/yy;@"/>
    <numFmt numFmtId="207" formatCode="[$-101041D]###\ ###\ ###\ ###\ ###\ ###\ ###\ ###\ ###\ ###\ ###\ ###\ ###\ ##0.000\ 000"/>
    <numFmt numFmtId="208" formatCode="[$-409]d/mmm/yyyy;@"/>
    <numFmt numFmtId="209" formatCode="#,##0.00\ ;\(#,##0.00\);&quot;-&quot;\ "/>
    <numFmt numFmtId="210" formatCode="#,##0.0%;\(#,##0.0%\);&quot;-&quot;"/>
    <numFmt numFmtId="211" formatCode="_(* #,##0.0%_);_(* \(#,##0.0%\);_(* &quot;-&quot;??_);_(@_)"/>
  </numFmts>
  <fonts count="81">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0"/>
      <color rgb="FF0B45E6"/>
      <name val="Arial"/>
      <family val="2"/>
    </font>
    <font>
      <b/>
      <sz val="12"/>
      <color theme="1"/>
      <name val="Arial"/>
      <family val="2"/>
    </font>
  </fonts>
  <fills count="6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B45E6"/>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4" fontId="2" fillId="0" borderId="0" applyFont="0" applyFill="0" applyBorder="0" applyAlignment="0" applyProtection="0"/>
    <xf numFmtId="194"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5"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6"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7"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199" fontId="29" fillId="0" borderId="0" applyFill="0" applyBorder="0" applyAlignment="0"/>
    <xf numFmtId="200"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4"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0" fontId="47" fillId="0" borderId="0">
      <alignment horizontal="right"/>
    </xf>
    <xf numFmtId="190"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6"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6" fontId="29" fillId="0" borderId="0"/>
    <xf numFmtId="0" fontId="29" fillId="0" borderId="0">
      <alignment wrapText="1"/>
    </xf>
    <xf numFmtId="0" fontId="1" fillId="0" borderId="0"/>
    <xf numFmtId="0" fontId="1" fillId="0" borderId="0"/>
    <xf numFmtId="206" fontId="29" fillId="0" borderId="0"/>
    <xf numFmtId="208" fontId="29" fillId="0" borderId="0"/>
    <xf numFmtId="206" fontId="29" fillId="0" borderId="0"/>
    <xf numFmtId="207" fontId="1" fillId="0" borderId="0"/>
    <xf numFmtId="207" fontId="1" fillId="0" borderId="0"/>
    <xf numFmtId="0" fontId="70" fillId="0" borderId="0"/>
    <xf numFmtId="207" fontId="29" fillId="0" borderId="0"/>
    <xf numFmtId="0" fontId="37" fillId="0" borderId="0"/>
    <xf numFmtId="0" fontId="65" fillId="0" borderId="0"/>
    <xf numFmtId="206" fontId="29" fillId="0" borderId="0"/>
    <xf numFmtId="207" fontId="29" fillId="0" borderId="0">
      <alignment wrapText="1"/>
    </xf>
    <xf numFmtId="206" fontId="29" fillId="0" borderId="0"/>
    <xf numFmtId="0" fontId="29" fillId="0" borderId="0"/>
    <xf numFmtId="0" fontId="70" fillId="0" borderId="0"/>
    <xf numFmtId="0" fontId="70" fillId="0" borderId="0"/>
    <xf numFmtId="206"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6" fontId="70" fillId="0" borderId="0"/>
    <xf numFmtId="206" fontId="70" fillId="0" borderId="0"/>
    <xf numFmtId="0"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0" fontId="65"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206"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0" fontId="1" fillId="0" borderId="0"/>
    <xf numFmtId="0" fontId="65" fillId="0" borderId="0"/>
    <xf numFmtId="207" fontId="29" fillId="0" borderId="0">
      <alignment wrapText="1"/>
    </xf>
    <xf numFmtId="206" fontId="65" fillId="0" borderId="0"/>
    <xf numFmtId="0" fontId="70" fillId="0" borderId="0"/>
    <xf numFmtId="206" fontId="70" fillId="0" borderId="0"/>
    <xf numFmtId="0"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5"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355">
    <xf numFmtId="0" fontId="0" fillId="0" borderId="0" xfId="0"/>
    <xf numFmtId="0" fontId="15" fillId="0" borderId="0" xfId="0" applyFont="1"/>
    <xf numFmtId="0" fontId="17" fillId="0" borderId="0" xfId="0" applyFont="1" applyFill="1" applyAlignment="1">
      <alignment horizontal="right"/>
    </xf>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Border="1" applyAlignment="1">
      <alignment horizontal="left" vertical="center"/>
    </xf>
    <xf numFmtId="0" fontId="17" fillId="0" borderId="0" xfId="0" applyFont="1"/>
    <xf numFmtId="0" fontId="17" fillId="0" borderId="0" xfId="0" applyFont="1" applyFill="1" applyBorder="1"/>
    <xf numFmtId="14" fontId="17" fillId="0" borderId="0" xfId="0" applyNumberFormat="1" applyFont="1" applyAlignment="1">
      <alignment horizontal="right"/>
    </xf>
    <xf numFmtId="0" fontId="20" fillId="0" borderId="0" xfId="0" applyFont="1"/>
    <xf numFmtId="0" fontId="20" fillId="0" borderId="0" xfId="0" applyFont="1" applyFill="1"/>
    <xf numFmtId="3" fontId="20" fillId="0" borderId="0" xfId="0" applyNumberFormat="1" applyFont="1" applyFill="1"/>
    <xf numFmtId="166" fontId="20" fillId="0" borderId="0" xfId="1" applyNumberFormat="1" applyFont="1" applyFill="1"/>
    <xf numFmtId="0" fontId="19" fillId="0" borderId="0" xfId="0" applyFont="1"/>
    <xf numFmtId="0" fontId="24" fillId="0" borderId="0" xfId="0" applyFont="1"/>
    <xf numFmtId="0" fontId="25" fillId="0" borderId="0" xfId="0" applyFont="1" applyFill="1" applyBorder="1" applyAlignment="1">
      <alignment horizontal="right" vertical="center"/>
    </xf>
    <xf numFmtId="3" fontId="24" fillId="0" borderId="0" xfId="0" applyNumberFormat="1" applyFont="1"/>
    <xf numFmtId="0" fontId="24" fillId="0" borderId="0" xfId="0" applyFont="1" applyBorder="1"/>
    <xf numFmtId="0" fontId="24" fillId="0" borderId="0" xfId="0" applyFont="1" applyFill="1" applyBorder="1"/>
    <xf numFmtId="0" fontId="24" fillId="0" borderId="0" xfId="0" applyFont="1" applyFill="1"/>
    <xf numFmtId="3" fontId="26" fillId="0" borderId="0" xfId="0" applyNumberFormat="1" applyFont="1" applyFill="1" applyAlignment="1">
      <alignment horizontal="right"/>
    </xf>
    <xf numFmtId="0" fontId="26" fillId="0" borderId="0" xfId="0" applyFont="1" applyFill="1"/>
    <xf numFmtId="0" fontId="24" fillId="0" borderId="0" xfId="0" applyFont="1" applyFill="1" applyBorder="1" applyAlignment="1">
      <alignment horizontal="right"/>
    </xf>
    <xf numFmtId="0" fontId="26" fillId="0" borderId="0" xfId="0" applyFont="1" applyAlignment="1">
      <alignment horizontal="right"/>
    </xf>
    <xf numFmtId="9" fontId="24" fillId="0" borderId="0" xfId="1" applyFont="1" applyFill="1"/>
    <xf numFmtId="3" fontId="24" fillId="0" borderId="0" xfId="0" applyNumberFormat="1" applyFont="1" applyFill="1" applyBorder="1"/>
    <xf numFmtId="167" fontId="27" fillId="0" borderId="0" xfId="0" applyNumberFormat="1" applyFont="1" applyFill="1" applyBorder="1" applyAlignment="1">
      <alignment horizontal="right"/>
    </xf>
    <xf numFmtId="3" fontId="23" fillId="0" borderId="0" xfId="0" applyNumberFormat="1" applyFont="1" applyFill="1" applyBorder="1" applyAlignment="1">
      <alignment vertical="center"/>
    </xf>
    <xf numFmtId="0" fontId="23" fillId="0" borderId="0" xfId="0" applyFont="1" applyFill="1" applyBorder="1" applyAlignment="1">
      <alignment vertical="center"/>
    </xf>
    <xf numFmtId="166" fontId="24" fillId="0" borderId="0" xfId="1" applyNumberFormat="1" applyFont="1" applyFill="1" applyBorder="1"/>
    <xf numFmtId="166" fontId="24" fillId="0" borderId="0" xfId="0" applyNumberFormat="1" applyFont="1" applyFill="1" applyBorder="1"/>
    <xf numFmtId="0" fontId="26" fillId="0" borderId="0" xfId="0" applyFont="1" applyFill="1" applyBorder="1"/>
    <xf numFmtId="190" fontId="24" fillId="0" borderId="0" xfId="0" applyNumberFormat="1" applyFont="1" applyFill="1" applyBorder="1"/>
    <xf numFmtId="190" fontId="15" fillId="0" borderId="0" xfId="0" applyNumberFormat="1" applyFont="1"/>
    <xf numFmtId="190" fontId="15" fillId="0" borderId="0" xfId="0" applyNumberFormat="1" applyFont="1" applyAlignment="1">
      <alignment horizontal="right"/>
    </xf>
    <xf numFmtId="0" fontId="22" fillId="0" borderId="0" xfId="0" applyFont="1" applyFill="1" applyBorder="1"/>
    <xf numFmtId="0" fontId="26" fillId="0" borderId="0" xfId="0" applyFont="1" applyFill="1" applyBorder="1" applyAlignment="1">
      <alignment horizontal="right"/>
    </xf>
    <xf numFmtId="9" fontId="24" fillId="0" borderId="0" xfId="1" applyFont="1" applyFill="1" applyBorder="1"/>
    <xf numFmtId="9" fontId="26" fillId="0" borderId="0" xfId="0" applyNumberFormat="1" applyFont="1" applyFill="1" applyBorder="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applyFill="1"/>
    <xf numFmtId="10" fontId="20" fillId="0" borderId="0" xfId="1" applyNumberFormat="1" applyFont="1" applyFill="1"/>
    <xf numFmtId="0" fontId="20" fillId="0" borderId="0" xfId="0" applyFont="1" applyFill="1" applyAlignment="1">
      <alignment horizontal="left"/>
    </xf>
    <xf numFmtId="10" fontId="20" fillId="0" borderId="0" xfId="0" applyNumberFormat="1" applyFont="1" applyFill="1"/>
    <xf numFmtId="0" fontId="20" fillId="0" borderId="0" xfId="0" applyFont="1" applyFill="1" applyAlignment="1">
      <alignment horizontal="right"/>
    </xf>
    <xf numFmtId="10" fontId="20" fillId="0" borderId="0" xfId="1" applyNumberFormat="1" applyFont="1" applyFill="1" applyAlignment="1">
      <alignment horizontal="right"/>
    </xf>
    <xf numFmtId="14" fontId="20" fillId="0" borderId="0" xfId="0" applyNumberFormat="1" applyFont="1" applyFill="1" applyAlignment="1">
      <alignment horizontal="right"/>
    </xf>
    <xf numFmtId="0" fontId="19" fillId="0" borderId="0" xfId="0" applyFont="1" applyAlignment="1">
      <alignment horizontal="right"/>
    </xf>
    <xf numFmtId="166" fontId="20" fillId="0" borderId="0" xfId="0" applyNumberFormat="1" applyFont="1"/>
    <xf numFmtId="9" fontId="15" fillId="0" borderId="0" xfId="1" applyNumberFormat="1" applyFont="1"/>
    <xf numFmtId="0" fontId="19" fillId="2" borderId="0" xfId="0" applyFont="1" applyFill="1"/>
    <xf numFmtId="191" fontId="20" fillId="0" borderId="0" xfId="0" applyNumberFormat="1" applyFont="1"/>
    <xf numFmtId="0" fontId="23" fillId="0" borderId="0" xfId="0" applyFont="1" applyFill="1" applyBorder="1" applyAlignment="1">
      <alignment horizontal="center" vertical="center"/>
    </xf>
    <xf numFmtId="3" fontId="20" fillId="0" borderId="0" xfId="0" applyNumberFormat="1" applyFont="1"/>
    <xf numFmtId="3" fontId="19" fillId="0" borderId="0" xfId="0" applyNumberFormat="1" applyFont="1"/>
    <xf numFmtId="191" fontId="20" fillId="0" borderId="0" xfId="0" applyNumberFormat="1" applyFont="1" applyFill="1"/>
    <xf numFmtId="1" fontId="15" fillId="0" borderId="0" xfId="0" applyNumberFormat="1" applyFont="1"/>
    <xf numFmtId="4" fontId="20" fillId="0" borderId="0" xfId="0" applyNumberFormat="1" applyFont="1" applyFill="1"/>
    <xf numFmtId="0" fontId="19" fillId="0" borderId="0" xfId="0" applyFont="1" applyFill="1" applyAlignment="1">
      <alignment horizontal="right"/>
    </xf>
    <xf numFmtId="0" fontId="23" fillId="0" borderId="0" xfId="0" applyFont="1" applyFill="1" applyBorder="1" applyAlignment="1">
      <alignment horizontal="center" vertical="center"/>
    </xf>
    <xf numFmtId="190" fontId="20" fillId="0" borderId="0" xfId="0" applyNumberFormat="1" applyFont="1"/>
    <xf numFmtId="190" fontId="19" fillId="0" borderId="0" xfId="0" applyNumberFormat="1" applyFont="1"/>
    <xf numFmtId="0" fontId="40" fillId="0" borderId="0" xfId="0" applyFont="1"/>
    <xf numFmtId="0" fontId="41" fillId="0" borderId="0" xfId="0" applyFont="1" applyFill="1" applyBorder="1" applyAlignment="1">
      <alignment horizontal="right" vertical="center"/>
    </xf>
    <xf numFmtId="0" fontId="0" fillId="0" borderId="0" xfId="0" applyFont="1"/>
    <xf numFmtId="3" fontId="0" fillId="0" borderId="0" xfId="1" applyNumberFormat="1" applyFont="1" applyAlignment="1">
      <alignment horizontal="right"/>
    </xf>
    <xf numFmtId="0" fontId="0" fillId="0" borderId="0" xfId="0" applyFont="1" applyBorder="1"/>
    <xf numFmtId="3" fontId="0" fillId="0" borderId="0" xfId="1" applyNumberFormat="1" applyFont="1" applyBorder="1" applyAlignment="1">
      <alignment horizontal="right"/>
    </xf>
    <xf numFmtId="167" fontId="42" fillId="0" borderId="0" xfId="0" applyNumberFormat="1" applyFont="1" applyFill="1" applyBorder="1" applyAlignment="1">
      <alignment horizontal="right"/>
    </xf>
    <xf numFmtId="167" fontId="41" fillId="0" borderId="0" xfId="0" applyNumberFormat="1" applyFont="1" applyFill="1" applyBorder="1" applyAlignment="1">
      <alignment horizontal="left"/>
    </xf>
    <xf numFmtId="3" fontId="40" fillId="0" borderId="0" xfId="1" applyNumberFormat="1" applyFont="1" applyAlignment="1">
      <alignment horizontal="right"/>
    </xf>
    <xf numFmtId="167" fontId="42" fillId="0" borderId="0" xfId="0" applyNumberFormat="1" applyFont="1" applyFill="1" applyBorder="1" applyAlignment="1">
      <alignment horizontal="left"/>
    </xf>
    <xf numFmtId="9" fontId="0" fillId="0" borderId="0" xfId="1" applyNumberFormat="1" applyFont="1" applyAlignment="1">
      <alignment horizontal="right"/>
    </xf>
    <xf numFmtId="193" fontId="42" fillId="0" borderId="0" xfId="0" applyNumberFormat="1" applyFont="1" applyFill="1" applyBorder="1" applyAlignment="1">
      <alignment horizontal="right"/>
    </xf>
    <xf numFmtId="0" fontId="21" fillId="4" borderId="0" xfId="0" applyFont="1" applyFill="1" applyBorder="1" applyAlignment="1">
      <alignment vertical="center"/>
    </xf>
    <xf numFmtId="193" fontId="41" fillId="0" borderId="0" xfId="0" applyNumberFormat="1" applyFont="1" applyFill="1" applyBorder="1" applyAlignment="1">
      <alignment horizontal="right"/>
    </xf>
    <xf numFmtId="3" fontId="0" fillId="0" borderId="0" xfId="0" applyNumberFormat="1" applyFont="1"/>
    <xf numFmtId="190" fontId="21" fillId="4" borderId="0" xfId="0" applyNumberFormat="1" applyFont="1" applyFill="1" applyBorder="1" applyAlignment="1">
      <alignment vertical="center"/>
    </xf>
    <xf numFmtId="9" fontId="20" fillId="0" borderId="0" xfId="1" applyNumberFormat="1" applyFont="1"/>
    <xf numFmtId="0" fontId="20" fillId="6" borderId="0" xfId="0" applyFont="1" applyFill="1"/>
    <xf numFmtId="166" fontId="20" fillId="6" borderId="0" xfId="1" applyNumberFormat="1" applyFont="1" applyFill="1"/>
    <xf numFmtId="3" fontId="19" fillId="0" borderId="0" xfId="0" applyNumberFormat="1" applyFont="1" applyFill="1"/>
    <xf numFmtId="9" fontId="20" fillId="0" borderId="0" xfId="1" applyFont="1"/>
    <xf numFmtId="3" fontId="19" fillId="0" borderId="0" xfId="0" applyNumberFormat="1" applyFont="1" applyFill="1" applyAlignment="1">
      <alignment horizontal="right"/>
    </xf>
    <xf numFmtId="1" fontId="20" fillId="0" borderId="0" xfId="0" applyNumberFormat="1" applyFont="1" applyFill="1"/>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NumberFormat="1" applyFont="1" applyFill="1"/>
    <xf numFmtId="0" fontId="19" fillId="0" borderId="0" xfId="0" applyFont="1" applyFill="1"/>
    <xf numFmtId="0" fontId="18" fillId="0" borderId="0" xfId="0" applyFont="1"/>
    <xf numFmtId="14" fontId="17" fillId="0" borderId="0" xfId="0" quotePrefix="1" applyNumberFormat="1" applyFont="1" applyAlignment="1">
      <alignment horizontal="right"/>
    </xf>
    <xf numFmtId="190" fontId="15" fillId="0" borderId="0" xfId="0" applyNumberFormat="1" applyFont="1" applyFill="1" applyAlignment="1">
      <alignment horizontal="right"/>
    </xf>
    <xf numFmtId="9" fontId="15" fillId="0" borderId="0" xfId="1" applyFont="1" applyAlignment="1">
      <alignment horizontal="right"/>
    </xf>
    <xf numFmtId="0" fontId="17" fillId="0" borderId="9" xfId="0" applyFont="1" applyFill="1" applyBorder="1"/>
    <xf numFmtId="190" fontId="17" fillId="0" borderId="9" xfId="0" applyNumberFormat="1" applyFont="1" applyFill="1" applyBorder="1" applyAlignment="1">
      <alignment horizontal="right"/>
    </xf>
    <xf numFmtId="9" fontId="17" fillId="0" borderId="9" xfId="1" applyFont="1" applyFill="1" applyBorder="1" applyAlignment="1">
      <alignment horizontal="right"/>
    </xf>
    <xf numFmtId="0" fontId="17" fillId="3" borderId="9" xfId="0" applyFont="1" applyFill="1" applyBorder="1"/>
    <xf numFmtId="0" fontId="17" fillId="0" borderId="0" xfId="0" applyNumberFormat="1" applyFont="1"/>
    <xf numFmtId="0" fontId="15" fillId="0" borderId="0" xfId="0" applyFont="1" applyAlignment="1"/>
    <xf numFmtId="0" fontId="17" fillId="0" borderId="0" xfId="0" applyNumberFormat="1" applyFont="1" applyAlignment="1">
      <alignment horizontal="right"/>
    </xf>
    <xf numFmtId="190" fontId="17" fillId="0" borderId="0" xfId="0" applyNumberFormat="1" applyFont="1" applyFill="1" applyBorder="1" applyAlignment="1">
      <alignment horizontal="right"/>
    </xf>
    <xf numFmtId="9" fontId="17" fillId="0" borderId="0" xfId="1" applyFont="1" applyFill="1" applyBorder="1" applyAlignment="1">
      <alignment horizontal="right"/>
    </xf>
    <xf numFmtId="2" fontId="20" fillId="0" borderId="0" xfId="0" applyNumberFormat="1" applyFont="1" applyFill="1"/>
    <xf numFmtId="14" fontId="19" fillId="0" borderId="0" xfId="0" applyNumberFormat="1" applyFont="1" applyFill="1" applyAlignment="1">
      <alignment horizontal="right"/>
    </xf>
    <xf numFmtId="14" fontId="19" fillId="0" borderId="0" xfId="0" applyNumberFormat="1" applyFont="1" applyFill="1"/>
    <xf numFmtId="9" fontId="20" fillId="0" borderId="0" xfId="1" applyFont="1" applyFill="1" applyAlignment="1">
      <alignment horizontal="right"/>
    </xf>
    <xf numFmtId="166" fontId="20" fillId="0" borderId="0" xfId="1" applyNumberFormat="1" applyFont="1" applyFill="1" applyAlignment="1">
      <alignment horizontal="right"/>
    </xf>
    <xf numFmtId="9" fontId="20" fillId="0" borderId="0" xfId="1" applyNumberFormat="1" applyFont="1" applyFill="1" applyAlignment="1">
      <alignment horizontal="right"/>
    </xf>
    <xf numFmtId="0" fontId="20" fillId="0" borderId="0" xfId="0" applyNumberFormat="1" applyFont="1" applyFill="1" applyAlignment="1">
      <alignment horizontal="right"/>
    </xf>
    <xf numFmtId="3" fontId="20" fillId="0" borderId="0" xfId="0" applyNumberFormat="1" applyFont="1" applyFill="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1" fontId="20" fillId="0" borderId="0" xfId="0" applyNumberFormat="1" applyFont="1" applyFill="1" applyAlignment="1">
      <alignment horizontal="right"/>
    </xf>
    <xf numFmtId="1" fontId="20" fillId="0" borderId="0" xfId="0" applyNumberFormat="1" applyFont="1" applyFill="1" applyAlignment="1">
      <alignment horizontal="right"/>
    </xf>
    <xf numFmtId="0" fontId="23" fillId="0" borderId="0" xfId="0" applyFont="1" applyFill="1" applyBorder="1" applyAlignment="1">
      <alignment horizontal="center" vertical="center"/>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Fill="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16" xfId="0" applyFont="1" applyFill="1" applyBorder="1" applyAlignment="1">
      <alignment horizontal="right"/>
    </xf>
    <xf numFmtId="0" fontId="19" fillId="0" borderId="24" xfId="0" applyFont="1" applyFill="1" applyBorder="1" applyAlignment="1">
      <alignment horizontal="right"/>
    </xf>
    <xf numFmtId="0" fontId="19" fillId="0" borderId="17" xfId="0" applyFont="1" applyFill="1" applyBorder="1" applyAlignment="1">
      <alignment horizontal="right"/>
    </xf>
    <xf numFmtId="9" fontId="40" fillId="0" borderId="0" xfId="1" applyNumberFormat="1" applyFont="1" applyAlignment="1">
      <alignment horizontal="right"/>
    </xf>
    <xf numFmtId="0" fontId="28" fillId="0" borderId="0" xfId="0" applyFont="1" applyFill="1" applyBorder="1" applyAlignment="1">
      <alignment vertical="center"/>
    </xf>
    <xf numFmtId="3" fontId="19" fillId="0" borderId="29" xfId="0" applyNumberFormat="1" applyFont="1" applyBorder="1"/>
    <xf numFmtId="3" fontId="0" fillId="0" borderId="0" xfId="0" applyNumberFormat="1"/>
    <xf numFmtId="3" fontId="40" fillId="0" borderId="0" xfId="0" applyNumberFormat="1" applyFont="1"/>
    <xf numFmtId="0" fontId="39" fillId="32" borderId="0" xfId="0" applyFont="1" applyFill="1" applyAlignment="1">
      <alignment vertical="center"/>
    </xf>
    <xf numFmtId="190" fontId="39" fillId="32" borderId="0" xfId="0" applyNumberFormat="1" applyFont="1" applyFill="1" applyAlignment="1">
      <alignment vertical="center"/>
    </xf>
    <xf numFmtId="0" fontId="43" fillId="0" borderId="0" xfId="0" applyFont="1"/>
    <xf numFmtId="0" fontId="44" fillId="0" borderId="0" xfId="0" applyFont="1"/>
    <xf numFmtId="193" fontId="39" fillId="32" borderId="0" xfId="0" applyNumberFormat="1" applyFont="1" applyFill="1" applyBorder="1" applyAlignment="1">
      <alignment horizontal="right"/>
    </xf>
    <xf numFmtId="0" fontId="16" fillId="32" borderId="0" xfId="0" applyFont="1" applyFill="1" applyBorder="1" applyAlignment="1">
      <alignment horizontal="left" vertical="center"/>
    </xf>
    <xf numFmtId="190" fontId="16" fillId="32" borderId="0" xfId="0" applyNumberFormat="1" applyFont="1" applyFill="1" applyBorder="1" applyAlignment="1">
      <alignment horizontal="right" vertical="center"/>
    </xf>
    <xf numFmtId="190" fontId="15" fillId="0" borderId="0" xfId="0" applyNumberFormat="1" applyFont="1" applyFill="1" applyBorder="1" applyAlignment="1">
      <alignment horizontal="right"/>
    </xf>
    <xf numFmtId="3" fontId="26" fillId="0" borderId="0" xfId="0" applyNumberFormat="1" applyFont="1" applyFill="1" applyBorder="1"/>
    <xf numFmtId="191" fontId="24" fillId="0" borderId="0" xfId="0" applyNumberFormat="1" applyFont="1" applyFill="1" applyBorder="1"/>
    <xf numFmtId="192" fontId="26" fillId="0" borderId="0" xfId="0" applyNumberFormat="1" applyFont="1" applyFill="1" applyBorder="1"/>
    <xf numFmtId="0" fontId="15" fillId="0" borderId="0" xfId="0" applyFont="1" applyAlignment="1">
      <alignment horizontal="center"/>
    </xf>
    <xf numFmtId="191" fontId="19" fillId="0" borderId="0" xfId="0" applyNumberFormat="1" applyFont="1" applyFill="1"/>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xf>
    <xf numFmtId="10" fontId="24" fillId="0" borderId="0" xfId="1" applyNumberFormat="1" applyFont="1" applyFill="1" applyBorder="1"/>
    <xf numFmtId="192" fontId="24" fillId="0" borderId="0" xfId="0" applyNumberFormat="1" applyFont="1" applyFill="1" applyBorder="1"/>
    <xf numFmtId="0" fontId="0" fillId="0" borderId="0" xfId="0" applyFill="1" applyBorder="1"/>
    <xf numFmtId="14" fontId="28" fillId="0" borderId="0" xfId="0" quotePrefix="1" applyNumberFormat="1" applyFont="1" applyFill="1" applyBorder="1" applyAlignment="1">
      <alignment horizontal="right"/>
    </xf>
    <xf numFmtId="3" fontId="27" fillId="0" borderId="0" xfId="0" applyNumberFormat="1" applyFont="1" applyFill="1" applyBorder="1" applyAlignment="1">
      <alignment vertical="center"/>
    </xf>
    <xf numFmtId="3" fontId="25" fillId="0" borderId="0" xfId="0" applyNumberFormat="1" applyFont="1" applyFill="1" applyBorder="1"/>
    <xf numFmtId="191" fontId="26" fillId="0" borderId="0" xfId="0" applyNumberFormat="1" applyFont="1" applyFill="1" applyBorder="1"/>
    <xf numFmtId="166" fontId="0" fillId="0" borderId="0" xfId="1" applyNumberFormat="1" applyFont="1" applyAlignment="1">
      <alignment horizontal="right"/>
    </xf>
    <xf numFmtId="203" fontId="0" fillId="0" borderId="0" xfId="1" applyNumberFormat="1" applyFont="1" applyAlignment="1">
      <alignment horizontal="right"/>
    </xf>
    <xf numFmtId="203" fontId="42" fillId="0" borderId="0" xfId="0" applyNumberFormat="1" applyFont="1" applyFill="1" applyBorder="1" applyAlignment="1">
      <alignment horizontal="right"/>
    </xf>
    <xf numFmtId="193" fontId="1" fillId="0" borderId="0" xfId="1" applyNumberFormat="1" applyFont="1" applyAlignment="1">
      <alignment horizontal="right"/>
    </xf>
    <xf numFmtId="0" fontId="23" fillId="0" borderId="0" xfId="0" applyFont="1" applyFill="1" applyBorder="1" applyAlignment="1">
      <alignment horizontal="center" vertical="center"/>
    </xf>
    <xf numFmtId="9" fontId="19" fillId="0" borderId="0" xfId="0" applyNumberFormat="1" applyFont="1"/>
    <xf numFmtId="14" fontId="19" fillId="0" borderId="0" xfId="0" quotePrefix="1" applyNumberFormat="1" applyFont="1" applyBorder="1" applyAlignment="1">
      <alignment horizontal="right"/>
    </xf>
    <xf numFmtId="14" fontId="19" fillId="0" borderId="0" xfId="0" applyNumberFormat="1" applyFont="1" applyBorder="1" applyAlignment="1">
      <alignment horizontal="right"/>
    </xf>
    <xf numFmtId="0" fontId="19" fillId="5" borderId="0" xfId="0" applyFont="1" applyFill="1"/>
    <xf numFmtId="190" fontId="19" fillId="5" borderId="0" xfId="0" applyNumberFormat="1" applyFont="1" applyFill="1"/>
    <xf numFmtId="166" fontId="19" fillId="0" borderId="0" xfId="1" applyNumberFormat="1" applyFont="1" applyAlignment="1">
      <alignment horizontal="right"/>
    </xf>
    <xf numFmtId="9" fontId="20" fillId="2" borderId="0" xfId="1" applyNumberFormat="1" applyFont="1" applyFill="1"/>
    <xf numFmtId="0" fontId="34" fillId="0" borderId="0" xfId="0" applyFont="1" applyFill="1"/>
    <xf numFmtId="9" fontId="20" fillId="0" borderId="0" xfId="0" applyNumberFormat="1" applyFont="1" applyFill="1"/>
    <xf numFmtId="9" fontId="19" fillId="0" borderId="0" xfId="0" applyNumberFormat="1" applyFont="1" applyFill="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0" borderId="0"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applyBorder="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3" fontId="20" fillId="0" borderId="24" xfId="0" applyNumberFormat="1" applyFont="1" applyFill="1" applyBorder="1"/>
    <xf numFmtId="3" fontId="20" fillId="0" borderId="0" xfId="0" applyNumberFormat="1" applyFont="1" applyFill="1" applyBorder="1"/>
    <xf numFmtId="3" fontId="20" fillId="0" borderId="25" xfId="0" applyNumberFormat="1" applyFont="1" applyFill="1" applyBorder="1"/>
    <xf numFmtId="16" fontId="20" fillId="0" borderId="0" xfId="0" applyNumberFormat="1" applyFont="1"/>
    <xf numFmtId="204" fontId="0" fillId="0" borderId="0" xfId="1" applyNumberFormat="1" applyFont="1" applyAlignment="1">
      <alignment horizontal="right"/>
    </xf>
    <xf numFmtId="204" fontId="39" fillId="32" borderId="0" xfId="0" applyNumberFormat="1" applyFont="1" applyFill="1" applyAlignment="1">
      <alignment vertical="center"/>
    </xf>
    <xf numFmtId="204" fontId="40" fillId="0" borderId="0" xfId="1" applyNumberFormat="1" applyFont="1" applyAlignment="1">
      <alignment horizontal="right"/>
    </xf>
    <xf numFmtId="9" fontId="0" fillId="0" borderId="0" xfId="1" applyFont="1" applyAlignment="1">
      <alignment horizontal="right"/>
    </xf>
    <xf numFmtId="0" fontId="40" fillId="0" borderId="0" xfId="0" applyFont="1" applyBorder="1"/>
    <xf numFmtId="0" fontId="23" fillId="0" borderId="0" xfId="0" applyFont="1" applyFill="1" applyBorder="1" applyAlignment="1">
      <alignment horizontal="center" vertical="center"/>
    </xf>
    <xf numFmtId="0" fontId="39" fillId="33" borderId="0" xfId="0" applyFont="1" applyFill="1" applyAlignment="1">
      <alignment vertical="center"/>
    </xf>
    <xf numFmtId="204" fontId="39" fillId="33" borderId="0" xfId="0" applyNumberFormat="1" applyFont="1" applyFill="1" applyAlignment="1">
      <alignment vertical="center"/>
    </xf>
    <xf numFmtId="193" fontId="39" fillId="33" borderId="0" xfId="1" applyNumberFormat="1" applyFont="1" applyFill="1" applyAlignment="1">
      <alignment vertical="center"/>
    </xf>
    <xf numFmtId="190" fontId="39" fillId="33" borderId="0" xfId="0" applyNumberFormat="1" applyFont="1" applyFill="1" applyAlignment="1">
      <alignment vertical="center"/>
    </xf>
    <xf numFmtId="190"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Border="1" applyAlignment="1">
      <alignment horizontal="left" vertical="center"/>
    </xf>
    <xf numFmtId="190" fontId="15" fillId="3" borderId="0" xfId="0" applyNumberFormat="1" applyFont="1" applyFill="1" applyAlignment="1">
      <alignment horizontal="right"/>
    </xf>
    <xf numFmtId="190" fontId="17" fillId="3" borderId="9" xfId="0" applyNumberFormat="1" applyFont="1" applyFill="1" applyBorder="1" applyAlignment="1">
      <alignment horizontal="right"/>
    </xf>
    <xf numFmtId="190" fontId="16" fillId="33" borderId="0" xfId="0" applyNumberFormat="1" applyFont="1" applyFill="1" applyBorder="1" applyAlignment="1">
      <alignment horizontal="right" vertical="center"/>
    </xf>
    <xf numFmtId="9" fontId="16" fillId="33" borderId="0" xfId="1" applyNumberFormat="1" applyFont="1" applyFill="1" applyBorder="1" applyAlignment="1">
      <alignment horizontal="right" vertical="center"/>
    </xf>
    <xf numFmtId="0" fontId="20" fillId="34" borderId="0" xfId="0" applyFont="1" applyFill="1"/>
    <xf numFmtId="9" fontId="20" fillId="3" borderId="0" xfId="1" applyNumberFormat="1" applyFont="1" applyFill="1"/>
    <xf numFmtId="3" fontId="20" fillId="3" borderId="0" xfId="0" applyNumberFormat="1" applyFont="1" applyFill="1"/>
    <xf numFmtId="191" fontId="20" fillId="34" borderId="0" xfId="0" applyNumberFormat="1" applyFont="1" applyFill="1"/>
    <xf numFmtId="188" fontId="20" fillId="34" borderId="0" xfId="0" applyNumberFormat="1" applyFont="1" applyFill="1"/>
    <xf numFmtId="0" fontId="15" fillId="0" borderId="0" xfId="0" applyFont="1" applyAlignment="1">
      <alignment horizontal="center"/>
    </xf>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applyBorder="1"/>
    <xf numFmtId="0" fontId="16" fillId="3" borderId="0" xfId="12443" applyFont="1" applyFill="1" applyBorder="1" applyAlignment="1">
      <alignment horizontal="right"/>
    </xf>
    <xf numFmtId="0" fontId="20" fillId="3" borderId="0" xfId="0" applyFont="1" applyFill="1" applyAlignment="1">
      <alignment vertical="top" wrapText="1"/>
    </xf>
    <xf numFmtId="0" fontId="71" fillId="60" borderId="0" xfId="12443" applyFont="1" applyFill="1" applyBorder="1"/>
    <xf numFmtId="0" fontId="16" fillId="60" borderId="0" xfId="12443" applyFont="1" applyFill="1" applyBorder="1"/>
    <xf numFmtId="0" fontId="16" fillId="60" borderId="0" xfId="12443" applyFont="1" applyFill="1" applyBorder="1" applyAlignment="1">
      <alignment horizontal="right"/>
    </xf>
    <xf numFmtId="0" fontId="72" fillId="60" borderId="0" xfId="12443" applyFont="1" applyFill="1" applyBorder="1"/>
    <xf numFmtId="0" fontId="73" fillId="60" borderId="0" xfId="12443" applyFont="1" applyFill="1" applyBorder="1"/>
    <xf numFmtId="0" fontId="74" fillId="60" borderId="0" xfId="12443" applyFont="1" applyFill="1" applyBorder="1"/>
    <xf numFmtId="0" fontId="74" fillId="60" borderId="0" xfId="12443" applyFont="1" applyFill="1" applyBorder="1" applyAlignment="1">
      <alignment horizontal="right"/>
    </xf>
    <xf numFmtId="0" fontId="74" fillId="3" borderId="0" xfId="12443" applyFont="1" applyFill="1" applyBorder="1"/>
    <xf numFmtId="0" fontId="74" fillId="3" borderId="0" xfId="12443" applyFont="1" applyFill="1" applyBorder="1" applyAlignment="1">
      <alignment horizontal="right"/>
    </xf>
    <xf numFmtId="0" fontId="75" fillId="3" borderId="0" xfId="0" applyFont="1" applyFill="1"/>
    <xf numFmtId="190" fontId="29" fillId="3" borderId="0" xfId="30277" applyFont="1" applyFill="1">
      <alignment horizontal="right"/>
    </xf>
    <xf numFmtId="0" fontId="24" fillId="3" borderId="0" xfId="0" applyFont="1" applyFill="1" applyBorder="1"/>
    <xf numFmtId="166" fontId="29" fillId="3" borderId="0" xfId="30277" applyNumberFormat="1" applyFont="1" applyFill="1" applyBorder="1">
      <alignment horizontal="right"/>
    </xf>
    <xf numFmtId="0" fontId="24" fillId="3" borderId="0" xfId="0" applyFont="1" applyFill="1"/>
    <xf numFmtId="190" fontId="29" fillId="3" borderId="0" xfId="30277" applyFont="1" applyFill="1" applyBorder="1">
      <alignment horizontal="right"/>
    </xf>
    <xf numFmtId="3" fontId="24" fillId="3" borderId="0" xfId="0" applyNumberFormat="1" applyFont="1" applyFill="1" applyBorder="1"/>
    <xf numFmtId="166" fontId="29" fillId="3" borderId="0" xfId="30277" applyNumberFormat="1" applyFont="1" applyFill="1">
      <alignment horizontal="right"/>
    </xf>
    <xf numFmtId="0" fontId="70" fillId="3" borderId="0" xfId="0" applyFont="1" applyFill="1"/>
    <xf numFmtId="166" fontId="70" fillId="3" borderId="0" xfId="0" applyNumberFormat="1" applyFont="1" applyFill="1"/>
    <xf numFmtId="0" fontId="76" fillId="3" borderId="0" xfId="0" applyFont="1" applyFill="1" applyBorder="1"/>
    <xf numFmtId="190" fontId="29" fillId="3" borderId="2" xfId="30277" applyFont="1" applyFill="1" applyBorder="1">
      <alignment horizontal="right"/>
    </xf>
    <xf numFmtId="190" fontId="70" fillId="3" borderId="0" xfId="0" applyNumberFormat="1" applyFont="1" applyFill="1"/>
    <xf numFmtId="190" fontId="77" fillId="3" borderId="0" xfId="0" applyNumberFormat="1" applyFont="1" applyFill="1"/>
    <xf numFmtId="0" fontId="77" fillId="3" borderId="0" xfId="0" applyFont="1" applyFill="1"/>
    <xf numFmtId="190" fontId="29" fillId="3" borderId="1" xfId="30277" applyFont="1" applyFill="1" applyBorder="1">
      <alignment horizontal="right"/>
    </xf>
    <xf numFmtId="0" fontId="78" fillId="3" borderId="0" xfId="0" applyFont="1" applyFill="1"/>
    <xf numFmtId="3" fontId="26" fillId="3" borderId="0" xfId="0" applyNumberFormat="1" applyFont="1" applyFill="1" applyBorder="1"/>
    <xf numFmtId="209" fontId="29" fillId="3" borderId="0" xfId="30277" applyNumberFormat="1" applyFont="1" applyFill="1" applyBorder="1">
      <alignment horizontal="right"/>
    </xf>
    <xf numFmtId="0" fontId="73" fillId="33" borderId="0" xfId="12443" applyFont="1" applyFill="1" applyBorder="1"/>
    <xf numFmtId="0" fontId="26" fillId="3" borderId="0" xfId="0" applyFont="1" applyFill="1"/>
    <xf numFmtId="210" fontId="29" fillId="3" borderId="0" xfId="30277" applyNumberFormat="1" applyFont="1" applyFill="1" applyBorder="1">
      <alignment horizontal="right"/>
    </xf>
    <xf numFmtId="4" fontId="70" fillId="3" borderId="0" xfId="0" applyNumberFormat="1" applyFont="1" applyFill="1"/>
    <xf numFmtId="0" fontId="79" fillId="60" borderId="0" xfId="12443" applyFont="1" applyFill="1" applyBorder="1"/>
    <xf numFmtId="166" fontId="27" fillId="3" borderId="0" xfId="30277" applyNumberFormat="1" applyFont="1" applyFill="1" applyBorder="1">
      <alignment horizontal="right"/>
    </xf>
    <xf numFmtId="190" fontId="27" fillId="3" borderId="0" xfId="30277" applyFont="1" applyFill="1" applyBorder="1">
      <alignment horizontal="right"/>
    </xf>
    <xf numFmtId="3" fontId="27" fillId="3" borderId="0" xfId="30277" applyNumberFormat="1" applyFont="1" applyFill="1" applyBorder="1">
      <alignment horizontal="right"/>
    </xf>
    <xf numFmtId="166" fontId="27" fillId="3" borderId="0" xfId="30277" applyNumberFormat="1" applyFont="1" applyFill="1">
      <alignment horizontal="right"/>
    </xf>
    <xf numFmtId="166" fontId="24" fillId="3" borderId="0" xfId="0" applyNumberFormat="1" applyFont="1" applyFill="1"/>
    <xf numFmtId="190" fontId="27" fillId="3" borderId="0" xfId="30277" applyNumberFormat="1" applyFont="1" applyFill="1">
      <alignment horizontal="right"/>
    </xf>
    <xf numFmtId="190" fontId="27" fillId="3" borderId="0" xfId="30277" applyFont="1" applyFill="1">
      <alignment horizontal="right"/>
    </xf>
    <xf numFmtId="190" fontId="27" fillId="3" borderId="2" xfId="30277" applyFont="1" applyFill="1" applyBorder="1">
      <alignment horizontal="right"/>
    </xf>
    <xf numFmtId="190" fontId="27" fillId="3" borderId="1" xfId="30277" applyFont="1" applyFill="1" applyBorder="1">
      <alignment horizontal="right"/>
    </xf>
    <xf numFmtId="209"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190" fontId="27" fillId="3" borderId="0" xfId="30277" applyNumberFormat="1" applyFont="1" applyFill="1" applyBorder="1">
      <alignment horizontal="right"/>
    </xf>
    <xf numFmtId="190" fontId="27" fillId="3" borderId="2" xfId="30277" applyNumberFormat="1" applyFont="1" applyFill="1" applyBorder="1">
      <alignment horizontal="right"/>
    </xf>
    <xf numFmtId="190"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0" fontId="27" fillId="3" borderId="0" xfId="30277" applyNumberFormat="1" applyFont="1" applyFill="1" applyBorder="1">
      <alignment horizontal="right"/>
    </xf>
    <xf numFmtId="190" fontId="27" fillId="3" borderId="6" xfId="30277" applyFont="1" applyFill="1" applyBorder="1">
      <alignment horizontal="right"/>
    </xf>
    <xf numFmtId="0" fontId="24" fillId="3" borderId="6" xfId="0" applyFont="1" applyFill="1" applyBorder="1"/>
    <xf numFmtId="0" fontId="24" fillId="3" borderId="1" xfId="0" applyFont="1" applyFill="1" applyBorder="1"/>
    <xf numFmtId="190" fontId="27" fillId="3" borderId="8" xfId="30277" applyNumberFormat="1"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0" fontId="25" fillId="3" borderId="2" xfId="30277" applyFont="1" applyFill="1" applyBorder="1">
      <alignment horizontal="right"/>
    </xf>
    <xf numFmtId="190" fontId="25" fillId="3" borderId="0" xfId="30277" applyFont="1" applyFill="1" applyBorder="1">
      <alignment horizontal="right"/>
    </xf>
    <xf numFmtId="190" fontId="25" fillId="3" borderId="0" xfId="30277" applyFont="1" applyFill="1">
      <alignment horizontal="right"/>
    </xf>
    <xf numFmtId="190" fontId="25" fillId="3" borderId="6" xfId="30277" applyFont="1" applyFill="1" applyBorder="1">
      <alignment horizontal="right"/>
    </xf>
    <xf numFmtId="14" fontId="74" fillId="60" borderId="0" xfId="12443" applyNumberFormat="1" applyFont="1" applyFill="1" applyBorder="1" applyAlignment="1">
      <alignment horizontal="right"/>
    </xf>
    <xf numFmtId="166" fontId="25" fillId="3" borderId="0" xfId="30277" applyNumberFormat="1" applyFont="1" applyFill="1" applyBorder="1">
      <alignment horizontal="right"/>
    </xf>
    <xf numFmtId="190" fontId="25" fillId="3" borderId="2" xfId="30277" applyNumberFormat="1" applyFont="1" applyFill="1" applyBorder="1">
      <alignment horizontal="right"/>
    </xf>
    <xf numFmtId="209" fontId="29"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0" fontId="26" fillId="3" borderId="0" xfId="0" applyFont="1" applyFill="1" applyBorder="1"/>
    <xf numFmtId="190" fontId="25" fillId="3" borderId="1" xfId="30277" applyFont="1" applyFill="1" applyBorder="1">
      <alignment horizontal="right"/>
    </xf>
    <xf numFmtId="14" fontId="70" fillId="3" borderId="0" xfId="0" applyNumberFormat="1" applyFont="1" applyFill="1"/>
    <xf numFmtId="3" fontId="70" fillId="3" borderId="0" xfId="0" applyNumberFormat="1" applyFont="1" applyFill="1"/>
    <xf numFmtId="190" fontId="24" fillId="3" borderId="0" xfId="0" applyNumberFormat="1" applyFont="1" applyFill="1" applyBorder="1"/>
    <xf numFmtId="10" fontId="26" fillId="3" borderId="0" xfId="0" applyNumberFormat="1" applyFont="1" applyFill="1"/>
    <xf numFmtId="190" fontId="27" fillId="3" borderId="3" xfId="30277" applyNumberFormat="1" applyFont="1" applyFill="1" applyBorder="1">
      <alignment horizontal="right"/>
    </xf>
    <xf numFmtId="211" fontId="27" fillId="3" borderId="0" xfId="30277" applyNumberFormat="1" applyFont="1" applyFill="1" applyBorder="1">
      <alignment horizontal="right"/>
    </xf>
    <xf numFmtId="0" fontId="80" fillId="3" borderId="0" xfId="0" applyFont="1" applyFill="1"/>
    <xf numFmtId="190" fontId="75" fillId="3" borderId="0" xfId="0" applyNumberFormat="1" applyFont="1" applyFill="1"/>
    <xf numFmtId="3" fontId="75" fillId="3" borderId="0" xfId="0" applyNumberFormat="1" applyFont="1" applyFill="1"/>
    <xf numFmtId="4" fontId="1" fillId="3" borderId="0" xfId="0" applyNumberFormat="1" applyFont="1" applyFill="1"/>
    <xf numFmtId="3" fontId="0" fillId="3" borderId="0" xfId="0" applyNumberFormat="1" applyFill="1"/>
    <xf numFmtId="3" fontId="1" fillId="3" borderId="0" xfId="0" applyNumberFormat="1" applyFont="1" applyFill="1"/>
    <xf numFmtId="0" fontId="74" fillId="3" borderId="0" xfId="12443" applyFont="1" applyFill="1" applyAlignment="1">
      <alignment horizontal="right"/>
    </xf>
    <xf numFmtId="0" fontId="73" fillId="5" borderId="0" xfId="12443" applyFont="1" applyFill="1" applyBorder="1"/>
    <xf numFmtId="0" fontId="70" fillId="5" borderId="0" xfId="0" applyFont="1" applyFill="1"/>
    <xf numFmtId="0" fontId="76" fillId="3" borderId="0" xfId="0" applyFont="1" applyFill="1" applyBorder="1" applyAlignment="1">
      <alignment vertical="top" wrapText="1"/>
    </xf>
    <xf numFmtId="0" fontId="22" fillId="3" borderId="0" xfId="0" applyFont="1" applyFill="1"/>
    <xf numFmtId="0" fontId="70" fillId="3" borderId="0" xfId="0" applyFont="1" applyFill="1" applyBorder="1"/>
    <xf numFmtId="0" fontId="72" fillId="60" borderId="0" xfId="12443" applyFont="1" applyFill="1" applyBorder="1" applyAlignment="1">
      <alignment horizontal="left"/>
    </xf>
    <xf numFmtId="0" fontId="76" fillId="3" borderId="0" xfId="0" applyFont="1" applyFill="1" applyBorder="1" applyAlignment="1">
      <alignment horizontal="left" vertical="top" wrapText="1"/>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Fill="1" applyAlignment="1">
      <alignment horizontal="center"/>
    </xf>
    <xf numFmtId="0" fontId="15" fillId="0" borderId="0" xfId="0" applyFont="1" applyAlignment="1">
      <alignment horizontal="center"/>
    </xf>
    <xf numFmtId="14" fontId="16" fillId="33" borderId="0" xfId="0" applyNumberFormat="1" applyFont="1" applyFill="1" applyBorder="1" applyAlignment="1">
      <alignment horizontal="center" vertical="center"/>
    </xf>
    <xf numFmtId="0" fontId="16" fillId="33" borderId="0" xfId="0" applyFont="1" applyFill="1" applyBorder="1" applyAlignment="1">
      <alignment horizontal="center" vertical="center"/>
    </xf>
    <xf numFmtId="0" fontId="35" fillId="0" borderId="0" xfId="0" applyFont="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20" fillId="0" borderId="25" xfId="0" applyFont="1" applyFill="1" applyBorder="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20" fillId="0" borderId="25" xfId="0" applyFont="1" applyBorder="1" applyAlignment="1">
      <alignment horizontal="center"/>
    </xf>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0B45E6"/>
      <color rgb="FFFF5FAC"/>
      <color rgb="FFFA7800"/>
      <color rgb="FF005FAC"/>
      <color rgb="FFD9D9D9"/>
      <color rgb="FF38648F"/>
      <color rgb="FF3562A8"/>
      <color rgb="FF9FA6AB"/>
      <color rgb="FF87A4D4"/>
      <color rgb="FF7FA6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is-I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is-I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is-I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is-I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is-I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is-I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is-I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is-I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is-I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350520</xdr:colOff>
      <xdr:row>60</xdr:row>
      <xdr:rowOff>79852</xdr:rowOff>
    </xdr:to>
    <xdr:pic>
      <xdr:nvPicPr>
        <xdr:cNvPr id="3" name="Picture 2">
          <a:extLst>
            <a:ext uri="{FF2B5EF4-FFF2-40B4-BE49-F238E27FC236}">
              <a16:creationId xmlns:a16="http://schemas.microsoft.com/office/drawing/2014/main" id="{45EE9CCD-08AE-40BC-BA96-0CEF78E28BFA}"/>
            </a:ext>
          </a:extLst>
        </xdr:cNvPr>
        <xdr:cNvPicPr>
          <a:picLocks noChangeAspect="1"/>
        </xdr:cNvPicPr>
      </xdr:nvPicPr>
      <xdr:blipFill>
        <a:blip xmlns:r="http://schemas.openxmlformats.org/officeDocument/2006/relationships" r:embed="rId1"/>
        <a:stretch>
          <a:fillRect/>
        </a:stretch>
      </xdr:blipFill>
      <xdr:spPr>
        <a:xfrm>
          <a:off x="0" y="0"/>
          <a:ext cx="8275320" cy="124528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arionbanki.is/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225;rm&#225;lasvi&#240;/Uppgj&#246;r%20-%20Samst&#230;&#240;a/Handrit/2014/03%20Mars/Samst&#230;&#240;a%20Arion%20banki%2031.3.20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arionbanki.is/Fj&#225;rm&#225;lasvi&#240;/Uppgj&#246;r%20-%20Samst&#230;&#240;a/Standard%20form/2011/06%2030.06.11/1000%20Arion%20banki%20hf/1000%20Arion%20banki%20hf.%20201106%2019.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j&#225;rm&#225;lasvi&#240;/Uppgj&#246;r%20-%20Samst&#230;&#240;a/Standard%20form/2011/06%2030.06.11/1000%20Arion%20banki%20hf/1000%20Arion%20banki%20hf.%20201106%201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arionbanki.is/Finance/Uppgj&#246;r/D&#243;tturf&#233;l&#246;g/Samst&#230;&#240;uskj&#246;l/2010/06%20J&#250;n&#237;/Samst&#230;&#240;a%20Arion%20banki%2030.06.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t="str">
            <v/>
          </cell>
          <cell r="B125">
            <v>0</v>
          </cell>
          <cell r="C125">
            <v>0</v>
          </cell>
          <cell r="D125">
            <v>0</v>
          </cell>
          <cell r="E125">
            <v>0</v>
          </cell>
          <cell r="F125">
            <v>0</v>
          </cell>
          <cell r="G125">
            <v>0</v>
          </cell>
          <cell r="H125">
            <v>0</v>
          </cell>
        </row>
        <row r="126">
          <cell r="A126" t="str">
            <v/>
          </cell>
          <cell r="B126">
            <v>0</v>
          </cell>
          <cell r="C126">
            <v>0</v>
          </cell>
          <cell r="D126">
            <v>0</v>
          </cell>
          <cell r="E126">
            <v>0</v>
          </cell>
          <cell r="F126">
            <v>0</v>
          </cell>
          <cell r="G126">
            <v>0</v>
          </cell>
          <cell r="H126">
            <v>0</v>
          </cell>
        </row>
        <row r="127">
          <cell r="A127" t="str">
            <v/>
          </cell>
          <cell r="B127">
            <v>0</v>
          </cell>
          <cell r="C127">
            <v>0</v>
          </cell>
          <cell r="D127">
            <v>0</v>
          </cell>
          <cell r="E127">
            <v>0</v>
          </cell>
          <cell r="F127">
            <v>0</v>
          </cell>
          <cell r="G127">
            <v>0</v>
          </cell>
          <cell r="H127">
            <v>0</v>
          </cell>
        </row>
        <row r="128">
          <cell r="A128" t="str">
            <v/>
          </cell>
          <cell r="B128">
            <v>0</v>
          </cell>
          <cell r="C128">
            <v>0</v>
          </cell>
          <cell r="D128">
            <v>0</v>
          </cell>
          <cell r="E128">
            <v>0</v>
          </cell>
          <cell r="F128">
            <v>0</v>
          </cell>
          <cell r="G128">
            <v>0</v>
          </cell>
          <cell r="H128">
            <v>0</v>
          </cell>
        </row>
        <row r="129">
          <cell r="A129" t="str">
            <v/>
          </cell>
          <cell r="B129">
            <v>0</v>
          </cell>
          <cell r="C129">
            <v>0</v>
          </cell>
          <cell r="D129">
            <v>0</v>
          </cell>
          <cell r="E129">
            <v>0</v>
          </cell>
          <cell r="F129">
            <v>0</v>
          </cell>
          <cell r="G129">
            <v>0</v>
          </cell>
          <cell r="H129">
            <v>0</v>
          </cell>
        </row>
        <row r="130">
          <cell r="A130" t="str">
            <v/>
          </cell>
          <cell r="B130">
            <v>0</v>
          </cell>
          <cell r="C130">
            <v>0</v>
          </cell>
          <cell r="D130">
            <v>0</v>
          </cell>
          <cell r="E130">
            <v>0</v>
          </cell>
          <cell r="F130">
            <v>0</v>
          </cell>
          <cell r="G130">
            <v>0</v>
          </cell>
          <cell r="H130">
            <v>0</v>
          </cell>
        </row>
        <row r="131">
          <cell r="A131" t="str">
            <v/>
          </cell>
          <cell r="B131">
            <v>0</v>
          </cell>
          <cell r="C131">
            <v>0</v>
          </cell>
          <cell r="D131">
            <v>0</v>
          </cell>
          <cell r="E131">
            <v>0</v>
          </cell>
          <cell r="F131">
            <v>0</v>
          </cell>
          <cell r="G131">
            <v>0</v>
          </cell>
          <cell r="H131">
            <v>0</v>
          </cell>
        </row>
        <row r="132">
          <cell r="A132" t="str">
            <v/>
          </cell>
          <cell r="B132">
            <v>0</v>
          </cell>
          <cell r="C132">
            <v>0</v>
          </cell>
          <cell r="D132">
            <v>0</v>
          </cell>
          <cell r="E132">
            <v>0</v>
          </cell>
          <cell r="F132">
            <v>0</v>
          </cell>
          <cell r="G132">
            <v>0</v>
          </cell>
          <cell r="H132">
            <v>0</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cell r="F3"/>
          <cell r="G3"/>
          <cell r="H3">
            <v>0</v>
          </cell>
        </row>
        <row r="4">
          <cell r="A4" t="str">
            <v>IS4010</v>
          </cell>
          <cell r="B4" t="str">
            <v>     IS4010</v>
          </cell>
          <cell r="C4" t="str">
            <v>Net interest income</v>
          </cell>
          <cell r="D4">
            <v>-6273631343</v>
          </cell>
          <cell r="E4"/>
          <cell r="F4"/>
          <cell r="G4"/>
          <cell r="H4">
            <v>-6273631343</v>
          </cell>
        </row>
        <row r="5">
          <cell r="A5" t="str">
            <v>ISSUB4010</v>
          </cell>
          <cell r="B5" t="str">
            <v>       ISSUB4010</v>
          </cell>
          <cell r="C5" t="str">
            <v>Interest income</v>
          </cell>
          <cell r="D5">
            <v>-12891486263</v>
          </cell>
          <cell r="E5"/>
          <cell r="F5"/>
          <cell r="G5"/>
          <cell r="H5">
            <v>-12891486263</v>
          </cell>
        </row>
        <row r="6">
          <cell r="A6" t="str">
            <v>4010</v>
          </cell>
          <cell r="B6" t="str">
            <v>                  4010</v>
          </cell>
          <cell r="C6" t="str">
            <v>Interest income on c</v>
          </cell>
          <cell r="D6">
            <v>-178604028</v>
          </cell>
          <cell r="E6"/>
          <cell r="F6"/>
          <cell r="G6"/>
          <cell r="H6">
            <v>-178604028</v>
          </cell>
        </row>
        <row r="7">
          <cell r="A7" t="str">
            <v>4020</v>
          </cell>
          <cell r="B7" t="str">
            <v>                  4020</v>
          </cell>
          <cell r="C7" t="str">
            <v>Int.inc. loans to cr</v>
          </cell>
          <cell r="D7">
            <v>-88014345</v>
          </cell>
          <cell r="E7"/>
          <cell r="F7"/>
          <cell r="G7"/>
          <cell r="H7">
            <v>-88014345</v>
          </cell>
        </row>
        <row r="8">
          <cell r="A8" t="str">
            <v>4025</v>
          </cell>
          <cell r="B8" t="str">
            <v>                  4025</v>
          </cell>
          <cell r="C8" t="str">
            <v>Int.inc. loans to cu</v>
          </cell>
          <cell r="D8">
            <v>-11528007218</v>
          </cell>
          <cell r="E8"/>
          <cell r="F8"/>
          <cell r="G8"/>
          <cell r="H8">
            <v>-11528007218</v>
          </cell>
        </row>
        <row r="9">
          <cell r="A9" t="str">
            <v>4050</v>
          </cell>
          <cell r="B9" t="str">
            <v>                  4050</v>
          </cell>
          <cell r="C9" t="str">
            <v>Interest income trad</v>
          </cell>
          <cell r="D9">
            <v>-479596315</v>
          </cell>
          <cell r="E9"/>
          <cell r="F9"/>
          <cell r="G9"/>
          <cell r="H9">
            <v>-479596315</v>
          </cell>
        </row>
        <row r="10">
          <cell r="A10" t="str">
            <v>4060</v>
          </cell>
          <cell r="B10" t="str">
            <v>                  4060</v>
          </cell>
          <cell r="C10" t="str">
            <v>Interest income FV</v>
          </cell>
          <cell r="D10">
            <v>-490919144</v>
          </cell>
          <cell r="E10"/>
          <cell r="F10"/>
          <cell r="G10"/>
          <cell r="H10">
            <v>-490919144</v>
          </cell>
        </row>
        <row r="11">
          <cell r="A11" t="str">
            <v>4090</v>
          </cell>
          <cell r="B11" t="str">
            <v>                  4090</v>
          </cell>
          <cell r="C11" t="str">
            <v>Interest income con.</v>
          </cell>
          <cell r="D11">
            <v>0</v>
          </cell>
          <cell r="E11"/>
          <cell r="F11"/>
          <cell r="G11"/>
          <cell r="H11">
            <v>0</v>
          </cell>
        </row>
        <row r="12">
          <cell r="A12" t="str">
            <v>4085</v>
          </cell>
          <cell r="B12" t="str">
            <v>                  4085</v>
          </cell>
          <cell r="C12" t="str">
            <v>Other interest incom</v>
          </cell>
          <cell r="D12">
            <v>-152447765</v>
          </cell>
          <cell r="E12"/>
          <cell r="F12"/>
          <cell r="G12"/>
          <cell r="H12">
            <v>-152447765</v>
          </cell>
        </row>
        <row r="13">
          <cell r="A13" t="str">
            <v>E5099</v>
          </cell>
          <cell r="B13" t="str">
            <v>                  E5099</v>
          </cell>
          <cell r="C13" t="str">
            <v>Elim.diff. interest</v>
          </cell>
          <cell r="D13">
            <v>26102552</v>
          </cell>
          <cell r="E13"/>
          <cell r="F13"/>
          <cell r="G13"/>
          <cell r="H13">
            <v>26102552</v>
          </cell>
        </row>
        <row r="14">
          <cell r="A14" t="str">
            <v>ISSUB5010</v>
          </cell>
          <cell r="B14" t="str">
            <v>       ISSUB5010</v>
          </cell>
          <cell r="C14" t="str">
            <v>Interest expenses</v>
          </cell>
          <cell r="D14">
            <v>7408337329</v>
          </cell>
          <cell r="E14"/>
          <cell r="F14"/>
          <cell r="G14"/>
          <cell r="H14">
            <v>7408337329</v>
          </cell>
        </row>
        <row r="15">
          <cell r="A15" t="str">
            <v>5010</v>
          </cell>
          <cell r="B15" t="str">
            <v>                  5010</v>
          </cell>
          <cell r="C15" t="str">
            <v>Int.exp.Due to cr.in</v>
          </cell>
          <cell r="D15">
            <v>502114779</v>
          </cell>
          <cell r="E15"/>
          <cell r="F15"/>
          <cell r="G15"/>
          <cell r="H15">
            <v>502114779</v>
          </cell>
        </row>
        <row r="16">
          <cell r="A16" t="str">
            <v>5015</v>
          </cell>
          <cell r="B16" t="str">
            <v>                  5015</v>
          </cell>
          <cell r="C16" t="str">
            <v>Interest exp.deposit</v>
          </cell>
          <cell r="D16">
            <v>3945863067</v>
          </cell>
          <cell r="E16"/>
          <cell r="F16"/>
          <cell r="G16"/>
          <cell r="H16">
            <v>3945863067</v>
          </cell>
        </row>
        <row r="17">
          <cell r="A17" t="str">
            <v>5020</v>
          </cell>
          <cell r="B17" t="str">
            <v>                  5020</v>
          </cell>
          <cell r="C17" t="str">
            <v>Interest exp.borrow</v>
          </cell>
          <cell r="D17">
            <v>2629036881</v>
          </cell>
          <cell r="E17"/>
          <cell r="F17"/>
          <cell r="G17"/>
          <cell r="H17">
            <v>2629036881</v>
          </cell>
        </row>
        <row r="18">
          <cell r="A18" t="str">
            <v>5030</v>
          </cell>
          <cell r="B18" t="str">
            <v>                  5030</v>
          </cell>
          <cell r="C18" t="str">
            <v>Interest exp.subord.</v>
          </cell>
          <cell r="D18">
            <v>323574504</v>
          </cell>
          <cell r="E18"/>
          <cell r="F18"/>
          <cell r="G18"/>
          <cell r="H18">
            <v>323574504</v>
          </cell>
        </row>
        <row r="19">
          <cell r="A19" t="str">
            <v>5070</v>
          </cell>
          <cell r="B19" t="str">
            <v>                  5070</v>
          </cell>
          <cell r="C19" t="str">
            <v>Interest exp.derivat</v>
          </cell>
          <cell r="D19">
            <v>0</v>
          </cell>
          <cell r="E19"/>
          <cell r="F19"/>
          <cell r="G19"/>
          <cell r="H19">
            <v>0</v>
          </cell>
        </row>
        <row r="20">
          <cell r="A20" t="str">
            <v>5090</v>
          </cell>
          <cell r="B20" t="str">
            <v>                  5090</v>
          </cell>
          <cell r="C20" t="str">
            <v>Interest exp.cons.co</v>
          </cell>
          <cell r="D20">
            <v>75</v>
          </cell>
          <cell r="E20"/>
          <cell r="F20"/>
          <cell r="G20"/>
          <cell r="H20">
            <v>75</v>
          </cell>
        </row>
        <row r="21">
          <cell r="A21" t="str">
            <v>4093</v>
          </cell>
          <cell r="B21" t="str">
            <v>                  4093</v>
          </cell>
          <cell r="C21" t="str">
            <v>Internal interst inc</v>
          </cell>
          <cell r="D21">
            <v>-12748847995</v>
          </cell>
          <cell r="E21"/>
          <cell r="F21"/>
          <cell r="G21"/>
          <cell r="H21">
            <v>-12748847995</v>
          </cell>
        </row>
        <row r="22">
          <cell r="A22" t="str">
            <v>5093</v>
          </cell>
          <cell r="B22" t="str">
            <v>                  5093</v>
          </cell>
          <cell r="C22" t="str">
            <v>Internal interest ex</v>
          </cell>
          <cell r="D22">
            <v>12748745367</v>
          </cell>
          <cell r="E22"/>
          <cell r="F22"/>
          <cell r="G22"/>
          <cell r="H22">
            <v>12748745367</v>
          </cell>
        </row>
        <row r="23">
          <cell r="A23" t="str">
            <v>5085</v>
          </cell>
          <cell r="B23" t="str">
            <v>                  5085</v>
          </cell>
          <cell r="C23" t="str">
            <v>Other interest expen</v>
          </cell>
          <cell r="D23">
            <v>7850651</v>
          </cell>
          <cell r="E23"/>
          <cell r="F23"/>
          <cell r="G23"/>
          <cell r="H23">
            <v>7850651</v>
          </cell>
        </row>
        <row r="24">
          <cell r="A24" t="str">
            <v>ISSUB5510</v>
          </cell>
          <cell r="B24" t="str">
            <v>       ISSUB5510</v>
          </cell>
          <cell r="C24" t="str">
            <v>Valuat.changes loans</v>
          </cell>
          <cell r="D24">
            <v>-790482409</v>
          </cell>
          <cell r="E24"/>
          <cell r="F24"/>
          <cell r="G24"/>
          <cell r="H24">
            <v>-790482409</v>
          </cell>
        </row>
        <row r="25">
          <cell r="A25" t="str">
            <v>5510</v>
          </cell>
          <cell r="B25" t="str">
            <v>                  5510</v>
          </cell>
          <cell r="C25" t="str">
            <v>Incr.value of loans</v>
          </cell>
          <cell r="D25">
            <v>-790482409</v>
          </cell>
          <cell r="E25"/>
          <cell r="F25"/>
          <cell r="G25"/>
          <cell r="H25">
            <v>-790482409</v>
          </cell>
        </row>
        <row r="26">
          <cell r="A26" t="str">
            <v>IS4220</v>
          </cell>
          <cell r="B26" t="str">
            <v>     IS4220</v>
          </cell>
          <cell r="C26" t="str">
            <v>Net fee and comm.inc</v>
          </cell>
          <cell r="D26">
            <v>-3147390549</v>
          </cell>
          <cell r="E26"/>
          <cell r="F26"/>
          <cell r="G26"/>
          <cell r="H26">
            <v>-3147390549</v>
          </cell>
        </row>
        <row r="27">
          <cell r="A27" t="str">
            <v>ISSUB4220</v>
          </cell>
          <cell r="B27" t="str">
            <v>       ISSUB4220</v>
          </cell>
          <cell r="C27" t="str">
            <v>Fee and comm.income</v>
          </cell>
          <cell r="D27">
            <v>-4263565275</v>
          </cell>
          <cell r="E27"/>
          <cell r="F27"/>
          <cell r="G27"/>
          <cell r="H27">
            <v>-4263565275</v>
          </cell>
        </row>
        <row r="28">
          <cell r="A28" t="str">
            <v>4220</v>
          </cell>
          <cell r="B28" t="str">
            <v>                  4220</v>
          </cell>
          <cell r="C28" t="str">
            <v>Commission equ.trade</v>
          </cell>
          <cell r="D28">
            <v>-58803308</v>
          </cell>
          <cell r="E28"/>
          <cell r="F28"/>
          <cell r="G28"/>
          <cell r="H28">
            <v>-58803308</v>
          </cell>
        </row>
        <row r="29">
          <cell r="A29" t="str">
            <v>4222</v>
          </cell>
          <cell r="B29" t="str">
            <v>                  4222</v>
          </cell>
          <cell r="C29" t="str">
            <v>Commission guarantee</v>
          </cell>
          <cell r="D29">
            <v>-36112415</v>
          </cell>
          <cell r="E29"/>
          <cell r="F29"/>
          <cell r="G29"/>
          <cell r="H29">
            <v>-36112415</v>
          </cell>
        </row>
        <row r="30">
          <cell r="A30" t="str">
            <v>4225</v>
          </cell>
          <cell r="B30" t="str">
            <v>                  4225</v>
          </cell>
          <cell r="C30" t="str">
            <v>Commission bond trad</v>
          </cell>
          <cell r="D30">
            <v>-13777093</v>
          </cell>
          <cell r="E30"/>
          <cell r="F30"/>
          <cell r="G30"/>
          <cell r="H30">
            <v>-13777093</v>
          </cell>
        </row>
        <row r="31">
          <cell r="A31" t="str">
            <v>4230</v>
          </cell>
          <cell r="B31" t="str">
            <v>                  4230</v>
          </cell>
          <cell r="C31" t="str">
            <v>Commission f.derivat</v>
          </cell>
          <cell r="D31">
            <v>-90988547</v>
          </cell>
          <cell r="E31"/>
          <cell r="F31"/>
          <cell r="G31"/>
          <cell r="H31">
            <v>-90988547</v>
          </cell>
        </row>
        <row r="32">
          <cell r="A32" t="str">
            <v>4240</v>
          </cell>
          <cell r="B32" t="str">
            <v>                  4240</v>
          </cell>
          <cell r="C32" t="str">
            <v>Commission f.lending</v>
          </cell>
          <cell r="D32">
            <v>-191686997</v>
          </cell>
          <cell r="E32"/>
          <cell r="F32"/>
          <cell r="G32"/>
          <cell r="H32">
            <v>-191686997</v>
          </cell>
        </row>
        <row r="33">
          <cell r="A33" t="str">
            <v>4241</v>
          </cell>
          <cell r="B33" t="str">
            <v>                  4241</v>
          </cell>
          <cell r="C33" t="str">
            <v>Commission f.int cle</v>
          </cell>
          <cell r="D33">
            <v>-121774521</v>
          </cell>
          <cell r="E33"/>
          <cell r="F33"/>
          <cell r="G33"/>
          <cell r="H33">
            <v>-121774521</v>
          </cell>
        </row>
        <row r="34">
          <cell r="A34" t="str">
            <v>4242</v>
          </cell>
          <cell r="B34" t="str">
            <v>                  4242</v>
          </cell>
          <cell r="C34" t="str">
            <v>Commission f.collect</v>
          </cell>
          <cell r="D34">
            <v>-1171362558</v>
          </cell>
          <cell r="E34"/>
          <cell r="F34"/>
          <cell r="G34"/>
          <cell r="H34">
            <v>-1171362558</v>
          </cell>
        </row>
        <row r="35">
          <cell r="A35" t="str">
            <v>4243</v>
          </cell>
          <cell r="B35" t="str">
            <v>                  4243</v>
          </cell>
          <cell r="C35" t="str">
            <v>Commission f.cr card</v>
          </cell>
          <cell r="D35">
            <v>-1110922731</v>
          </cell>
          <cell r="E35"/>
          <cell r="F35"/>
          <cell r="G35"/>
          <cell r="H35">
            <v>-1110922731</v>
          </cell>
        </row>
        <row r="36">
          <cell r="A36" t="str">
            <v>4244</v>
          </cell>
          <cell r="B36" t="str">
            <v>                  4244</v>
          </cell>
          <cell r="C36" t="str">
            <v>Commission f.ass man</v>
          </cell>
          <cell r="D36">
            <v>-1008762822</v>
          </cell>
          <cell r="E36"/>
          <cell r="F36"/>
          <cell r="G36"/>
          <cell r="H36">
            <v>-1008762822</v>
          </cell>
        </row>
        <row r="37">
          <cell r="A37" t="str">
            <v>4245</v>
          </cell>
          <cell r="B37" t="str">
            <v>                  4245</v>
          </cell>
          <cell r="C37" t="str">
            <v>Commission f.inv.ban</v>
          </cell>
          <cell r="D37">
            <v>-228600000</v>
          </cell>
          <cell r="E37"/>
          <cell r="F37"/>
          <cell r="G37"/>
          <cell r="H37">
            <v>-228600000</v>
          </cell>
        </row>
        <row r="38">
          <cell r="A38" t="str">
            <v>4250</v>
          </cell>
          <cell r="B38" t="str">
            <v>                  4250</v>
          </cell>
          <cell r="C38" t="str">
            <v>Other commission inc</v>
          </cell>
          <cell r="D38">
            <v>-220141992</v>
          </cell>
          <cell r="E38"/>
          <cell r="F38"/>
          <cell r="G38"/>
          <cell r="H38">
            <v>-220141992</v>
          </cell>
        </row>
        <row r="39">
          <cell r="A39" t="str">
            <v>4290</v>
          </cell>
          <cell r="B39" t="str">
            <v>                  4290</v>
          </cell>
          <cell r="C39" t="str">
            <v>Commission inc.cons</v>
          </cell>
          <cell r="D39">
            <v>0</v>
          </cell>
          <cell r="E39"/>
          <cell r="F39"/>
          <cell r="G39"/>
          <cell r="H39">
            <v>0</v>
          </cell>
        </row>
        <row r="40">
          <cell r="A40" t="str">
            <v>E5299</v>
          </cell>
          <cell r="B40" t="str">
            <v>                  E5299</v>
          </cell>
          <cell r="C40" t="str">
            <v>Elim.diff.commission</v>
          </cell>
          <cell r="D40">
            <v>-10632291</v>
          </cell>
          <cell r="E40"/>
          <cell r="F40"/>
          <cell r="G40"/>
          <cell r="H40">
            <v>-10632291</v>
          </cell>
        </row>
        <row r="41">
          <cell r="A41" t="str">
            <v>ISSUB5220</v>
          </cell>
          <cell r="B41" t="str">
            <v>       ISSUB5220</v>
          </cell>
          <cell r="C41" t="str">
            <v>Fee and comm.exp.</v>
          </cell>
          <cell r="D41">
            <v>1116174726</v>
          </cell>
          <cell r="E41"/>
          <cell r="F41"/>
          <cell r="G41"/>
          <cell r="H41">
            <v>1116174726</v>
          </cell>
        </row>
        <row r="42">
          <cell r="A42" t="str">
            <v>5230</v>
          </cell>
          <cell r="B42" t="str">
            <v>                  5230</v>
          </cell>
          <cell r="C42" t="str">
            <v>Commission equ trade</v>
          </cell>
          <cell r="D42">
            <v>2997095</v>
          </cell>
          <cell r="E42"/>
          <cell r="F42"/>
          <cell r="G42"/>
          <cell r="H42">
            <v>2997095</v>
          </cell>
        </row>
        <row r="43">
          <cell r="A43" t="str">
            <v>5235</v>
          </cell>
          <cell r="B43" t="str">
            <v>                  5235</v>
          </cell>
          <cell r="C43" t="str">
            <v>Commission bond trad</v>
          </cell>
          <cell r="D43">
            <v>10858698</v>
          </cell>
          <cell r="E43"/>
          <cell r="F43"/>
          <cell r="G43"/>
          <cell r="H43">
            <v>10858698</v>
          </cell>
        </row>
        <row r="44">
          <cell r="A44" t="str">
            <v>5241</v>
          </cell>
          <cell r="B44" t="str">
            <v>                  5241</v>
          </cell>
          <cell r="C44" t="str">
            <v>Commission int clear</v>
          </cell>
          <cell r="D44">
            <v>377813006</v>
          </cell>
          <cell r="E44"/>
          <cell r="F44"/>
          <cell r="G44"/>
          <cell r="H44">
            <v>377813006</v>
          </cell>
        </row>
        <row r="45">
          <cell r="A45" t="str">
            <v>5242</v>
          </cell>
          <cell r="B45" t="str">
            <v>                  5242</v>
          </cell>
          <cell r="C45" t="str">
            <v>Commission coll paym</v>
          </cell>
          <cell r="D45">
            <v>306606073</v>
          </cell>
          <cell r="E45"/>
          <cell r="F45"/>
          <cell r="G45"/>
          <cell r="H45">
            <v>306606073</v>
          </cell>
        </row>
        <row r="46">
          <cell r="A46" t="str">
            <v>5243</v>
          </cell>
          <cell r="B46" t="str">
            <v>                  5243</v>
          </cell>
          <cell r="C46" t="str">
            <v>Commission cr cards</v>
          </cell>
          <cell r="D46">
            <v>269424763</v>
          </cell>
          <cell r="E46"/>
          <cell r="F46"/>
          <cell r="G46"/>
          <cell r="H46">
            <v>269424763</v>
          </cell>
        </row>
        <row r="47">
          <cell r="A47" t="str">
            <v>5244</v>
          </cell>
          <cell r="B47" t="str">
            <v>                  5244</v>
          </cell>
          <cell r="C47" t="str">
            <v>Commission ass. mgmt</v>
          </cell>
          <cell r="D47">
            <v>82901707</v>
          </cell>
          <cell r="E47"/>
          <cell r="F47"/>
          <cell r="G47"/>
          <cell r="H47">
            <v>82901707</v>
          </cell>
        </row>
        <row r="48">
          <cell r="A48" t="str">
            <v>5250</v>
          </cell>
          <cell r="B48" t="str">
            <v>                  5250</v>
          </cell>
          <cell r="C48" t="str">
            <v>Other commission exp</v>
          </cell>
          <cell r="D48">
            <v>63741288</v>
          </cell>
          <cell r="E48"/>
          <cell r="F48"/>
          <cell r="G48"/>
          <cell r="H48">
            <v>63741288</v>
          </cell>
        </row>
        <row r="49">
          <cell r="A49" t="str">
            <v>5290</v>
          </cell>
          <cell r="B49" t="str">
            <v>                  5290</v>
          </cell>
          <cell r="C49" t="str">
            <v>Commission exp.conso</v>
          </cell>
          <cell r="D49">
            <v>0</v>
          </cell>
          <cell r="E49"/>
          <cell r="F49"/>
          <cell r="G49"/>
          <cell r="H49">
            <v>0</v>
          </cell>
        </row>
        <row r="50">
          <cell r="A50" t="str">
            <v>4293</v>
          </cell>
          <cell r="B50" t="str">
            <v>                  4293</v>
          </cell>
          <cell r="C50" t="str">
            <v>Internal commiss.inc</v>
          </cell>
          <cell r="D50">
            <v>-112409656</v>
          </cell>
          <cell r="E50"/>
          <cell r="F50"/>
          <cell r="G50"/>
          <cell r="H50">
            <v>-112409656</v>
          </cell>
        </row>
        <row r="51">
          <cell r="A51" t="str">
            <v>5293</v>
          </cell>
          <cell r="B51" t="str">
            <v>                  5293</v>
          </cell>
          <cell r="C51" t="str">
            <v>Internal commission</v>
          </cell>
          <cell r="D51">
            <v>114241752</v>
          </cell>
          <cell r="E51"/>
          <cell r="F51"/>
          <cell r="G51"/>
          <cell r="H51">
            <v>114241752</v>
          </cell>
        </row>
        <row r="52">
          <cell r="A52" t="str">
            <v>IS4300</v>
          </cell>
          <cell r="B52" t="str">
            <v>     IS4300</v>
          </cell>
          <cell r="C52" t="str">
            <v>Net financial income</v>
          </cell>
          <cell r="D52">
            <v>572310569</v>
          </cell>
          <cell r="E52"/>
          <cell r="F52"/>
          <cell r="G52"/>
          <cell r="H52">
            <v>572310569</v>
          </cell>
        </row>
        <row r="53">
          <cell r="A53" t="str">
            <v>ISSUB4310</v>
          </cell>
          <cell r="B53" t="str">
            <v>       ISSUB4310</v>
          </cell>
          <cell r="C53" t="str">
            <v>Dividend income</v>
          </cell>
          <cell r="D53">
            <v>-598638623</v>
          </cell>
          <cell r="E53"/>
          <cell r="F53"/>
          <cell r="G53"/>
          <cell r="H53">
            <v>-598638623</v>
          </cell>
        </row>
        <row r="54">
          <cell r="A54" t="str">
            <v>4320</v>
          </cell>
          <cell r="B54" t="str">
            <v>                  4320</v>
          </cell>
          <cell r="C54" t="str">
            <v>Dividend income Trad</v>
          </cell>
          <cell r="D54">
            <v>-88444052</v>
          </cell>
          <cell r="E54"/>
          <cell r="F54"/>
          <cell r="G54"/>
          <cell r="H54">
            <v>-88444052</v>
          </cell>
        </row>
        <row r="55">
          <cell r="A55" t="str">
            <v>4330</v>
          </cell>
          <cell r="B55" t="str">
            <v>                  4330</v>
          </cell>
          <cell r="C55" t="str">
            <v>Dividend income FV</v>
          </cell>
          <cell r="D55">
            <v>-510194571</v>
          </cell>
          <cell r="E55"/>
          <cell r="F55"/>
          <cell r="G55"/>
          <cell r="H55">
            <v>-510194571</v>
          </cell>
        </row>
        <row r="56">
          <cell r="A56" t="str">
            <v>ISSUB4510</v>
          </cell>
          <cell r="B56" t="str">
            <v>       ISSUB4510</v>
          </cell>
          <cell r="C56" t="str">
            <v>G/L assets/liab HFT</v>
          </cell>
          <cell r="D56">
            <v>360827988</v>
          </cell>
          <cell r="E56"/>
          <cell r="F56"/>
          <cell r="G56"/>
          <cell r="H56">
            <v>360827988</v>
          </cell>
        </row>
        <row r="57">
          <cell r="A57" t="str">
            <v>4510</v>
          </cell>
          <cell r="B57" t="str">
            <v>                  4510</v>
          </cell>
          <cell r="C57" t="str">
            <v>Gain/losses on equit</v>
          </cell>
          <cell r="D57">
            <v>116845786</v>
          </cell>
          <cell r="E57"/>
          <cell r="F57"/>
          <cell r="G57"/>
          <cell r="H57">
            <v>116845786</v>
          </cell>
        </row>
        <row r="58">
          <cell r="A58" t="str">
            <v>4520</v>
          </cell>
          <cell r="B58" t="str">
            <v>                  4520</v>
          </cell>
          <cell r="C58" t="str">
            <v>Gain/losses on inter</v>
          </cell>
          <cell r="D58">
            <v>121398199</v>
          </cell>
          <cell r="E58"/>
          <cell r="F58"/>
          <cell r="G58"/>
          <cell r="H58">
            <v>121398199</v>
          </cell>
        </row>
        <row r="59">
          <cell r="A59" t="str">
            <v>4550</v>
          </cell>
          <cell r="B59" t="str">
            <v>                  4550</v>
          </cell>
          <cell r="C59" t="str">
            <v>Gain/losses on credi</v>
          </cell>
          <cell r="D59">
            <v>123020491</v>
          </cell>
          <cell r="E59"/>
          <cell r="F59"/>
          <cell r="G59"/>
          <cell r="H59">
            <v>123020491</v>
          </cell>
        </row>
        <row r="60">
          <cell r="A60" t="str">
            <v>4580</v>
          </cell>
          <cell r="B60" t="str">
            <v>                  4580</v>
          </cell>
          <cell r="C60" t="str">
            <v>Intern gain/loss HFT</v>
          </cell>
          <cell r="D60">
            <v>0</v>
          </cell>
          <cell r="E60"/>
          <cell r="F60"/>
          <cell r="G60"/>
          <cell r="H60">
            <v>0</v>
          </cell>
        </row>
        <row r="61">
          <cell r="A61" t="str">
            <v>4590</v>
          </cell>
          <cell r="B61" t="str">
            <v>                  4590</v>
          </cell>
          <cell r="C61" t="str">
            <v>P/L fin.ass.HFT cons</v>
          </cell>
          <cell r="D61">
            <v>-436488</v>
          </cell>
          <cell r="E61"/>
          <cell r="F61"/>
          <cell r="G61"/>
          <cell r="H61">
            <v>-436488</v>
          </cell>
        </row>
        <row r="62">
          <cell r="A62" t="str">
            <v>ISSUB4610</v>
          </cell>
          <cell r="B62" t="str">
            <v>       ISSUB4610</v>
          </cell>
          <cell r="C62" t="str">
            <v>G/L ass FV thr.P/L</v>
          </cell>
          <cell r="D62">
            <v>334333887</v>
          </cell>
          <cell r="E62"/>
          <cell r="F62"/>
          <cell r="G62"/>
          <cell r="H62">
            <v>334333887</v>
          </cell>
        </row>
        <row r="63">
          <cell r="A63" t="str">
            <v>4612</v>
          </cell>
          <cell r="B63" t="str">
            <v>                  4612</v>
          </cell>
          <cell r="C63" t="str">
            <v>G/L equi.inst.FV P/L</v>
          </cell>
          <cell r="D63">
            <v>253333493</v>
          </cell>
          <cell r="E63"/>
          <cell r="F63"/>
          <cell r="G63"/>
          <cell r="H63">
            <v>253333493</v>
          </cell>
        </row>
        <row r="64">
          <cell r="A64" t="str">
            <v>4614</v>
          </cell>
          <cell r="B64" t="str">
            <v>                  4614</v>
          </cell>
          <cell r="C64" t="str">
            <v>G/L int.inst.FV P/L</v>
          </cell>
          <cell r="D64">
            <v>81000394</v>
          </cell>
          <cell r="E64"/>
          <cell r="F64"/>
          <cell r="G64"/>
          <cell r="H64">
            <v>81000394</v>
          </cell>
        </row>
        <row r="65">
          <cell r="A65" t="str">
            <v>ISSUB4650</v>
          </cell>
          <cell r="B65" t="str">
            <v>       ISSUB4650</v>
          </cell>
          <cell r="C65" t="str">
            <v>Exch. diff.revaluati</v>
          </cell>
          <cell r="D65">
            <v>475787317</v>
          </cell>
          <cell r="E65"/>
          <cell r="F65"/>
          <cell r="G65"/>
          <cell r="H65">
            <v>475787317</v>
          </cell>
        </row>
        <row r="66">
          <cell r="A66" t="str">
            <v>4650</v>
          </cell>
          <cell r="B66" t="str">
            <v>                  4650</v>
          </cell>
          <cell r="C66" t="str">
            <v>Gain on exchange dif</v>
          </cell>
          <cell r="D66">
            <v>475787317</v>
          </cell>
          <cell r="E66"/>
          <cell r="F66"/>
          <cell r="G66"/>
          <cell r="H66">
            <v>475787317</v>
          </cell>
        </row>
        <row r="67">
          <cell r="A67" t="str">
            <v>IS5890</v>
          </cell>
          <cell r="B67" t="str">
            <v>     IS5890</v>
          </cell>
          <cell r="C67" t="str">
            <v>P/L of associates</v>
          </cell>
          <cell r="D67">
            <v>63859938</v>
          </cell>
          <cell r="E67"/>
          <cell r="F67"/>
          <cell r="G67"/>
          <cell r="H67">
            <v>63859938</v>
          </cell>
        </row>
        <row r="68">
          <cell r="A68" t="str">
            <v>5890</v>
          </cell>
          <cell r="B68" t="str">
            <v>                5890</v>
          </cell>
          <cell r="C68" t="str">
            <v>Share of P/L in asso</v>
          </cell>
          <cell r="D68">
            <v>63859938</v>
          </cell>
          <cell r="E68"/>
          <cell r="F68"/>
          <cell r="G68"/>
          <cell r="H68">
            <v>63859938</v>
          </cell>
        </row>
        <row r="69">
          <cell r="A69" t="str">
            <v>IS4660</v>
          </cell>
          <cell r="B69" t="str">
            <v>     IS4660</v>
          </cell>
          <cell r="C69" t="str">
            <v>Oth.operating income</v>
          </cell>
          <cell r="D69">
            <v>-974401073</v>
          </cell>
          <cell r="E69"/>
          <cell r="F69"/>
          <cell r="G69"/>
          <cell r="H69">
            <v>-974401073</v>
          </cell>
        </row>
        <row r="70">
          <cell r="A70" t="str">
            <v>4660</v>
          </cell>
          <cell r="B70" t="str">
            <v>                4660</v>
          </cell>
          <cell r="C70" t="str">
            <v>Gains on disposals</v>
          </cell>
          <cell r="D70">
            <v>-7940869</v>
          </cell>
          <cell r="E70"/>
          <cell r="F70"/>
          <cell r="G70"/>
          <cell r="H70">
            <v>-7940869</v>
          </cell>
        </row>
        <row r="71">
          <cell r="A71" t="str">
            <v>4676</v>
          </cell>
          <cell r="B71" t="str">
            <v>                4676</v>
          </cell>
          <cell r="C71" t="str">
            <v>Realised gain on IP</v>
          </cell>
          <cell r="D71">
            <v>-1021100</v>
          </cell>
          <cell r="E71"/>
          <cell r="F71"/>
          <cell r="G71"/>
          <cell r="H71">
            <v>-1021100</v>
          </cell>
        </row>
        <row r="72">
          <cell r="A72" t="str">
            <v>4100</v>
          </cell>
          <cell r="B72" t="str">
            <v>                4100</v>
          </cell>
          <cell r="C72" t="str">
            <v>Insurance premium</v>
          </cell>
          <cell r="D72">
            <v>-227352187</v>
          </cell>
          <cell r="E72"/>
          <cell r="F72"/>
          <cell r="G72"/>
          <cell r="H72">
            <v>-227352187</v>
          </cell>
        </row>
        <row r="73">
          <cell r="A73" t="str">
            <v>4191</v>
          </cell>
          <cell r="B73" t="str">
            <v>                4191</v>
          </cell>
          <cell r="C73" t="str">
            <v>Insur. premium conso</v>
          </cell>
          <cell r="D73">
            <v>0</v>
          </cell>
          <cell r="E73"/>
          <cell r="F73"/>
          <cell r="G73"/>
          <cell r="H73">
            <v>0</v>
          </cell>
        </row>
        <row r="74">
          <cell r="A74" t="str">
            <v>4670</v>
          </cell>
          <cell r="B74" t="str">
            <v>                4670</v>
          </cell>
          <cell r="C74" t="str">
            <v>Net inc.HFS int.asse</v>
          </cell>
          <cell r="D74">
            <v>7196785</v>
          </cell>
          <cell r="E74"/>
          <cell r="F74"/>
          <cell r="G74"/>
          <cell r="H74">
            <v>7196785</v>
          </cell>
        </row>
        <row r="75">
          <cell r="A75" t="str">
            <v>4677</v>
          </cell>
          <cell r="B75" t="str">
            <v>                4677</v>
          </cell>
          <cell r="C75" t="str">
            <v>Income operat.lease</v>
          </cell>
          <cell r="D75">
            <v>-588056375</v>
          </cell>
          <cell r="E75"/>
          <cell r="F75"/>
          <cell r="G75"/>
          <cell r="H75">
            <v>-588056375</v>
          </cell>
        </row>
        <row r="76">
          <cell r="A76" t="str">
            <v>4680</v>
          </cell>
          <cell r="B76" t="str">
            <v>                4680</v>
          </cell>
          <cell r="C76" t="str">
            <v>Other operating inc.</v>
          </cell>
          <cell r="D76">
            <v>-157227327</v>
          </cell>
          <cell r="E76"/>
          <cell r="F76"/>
          <cell r="G76"/>
          <cell r="H76">
            <v>-157227327</v>
          </cell>
        </row>
        <row r="77">
          <cell r="A77" t="str">
            <v>4690</v>
          </cell>
          <cell r="B77" t="str">
            <v>                4690</v>
          </cell>
          <cell r="C77" t="str">
            <v>Other operating net</v>
          </cell>
          <cell r="D77">
            <v>0</v>
          </cell>
          <cell r="E77"/>
          <cell r="F77"/>
          <cell r="G77"/>
          <cell r="H77">
            <v>0</v>
          </cell>
        </row>
        <row r="78">
          <cell r="A78" t="str">
            <v>IS5710</v>
          </cell>
          <cell r="B78" t="str">
            <v>     IS5710</v>
          </cell>
          <cell r="C78" t="str">
            <v>Salaries &amp; rel.exp.</v>
          </cell>
          <cell r="D78">
            <v>3450038280</v>
          </cell>
          <cell r="E78"/>
          <cell r="F78"/>
          <cell r="G78"/>
          <cell r="H78">
            <v>3450038280</v>
          </cell>
        </row>
        <row r="79">
          <cell r="A79" t="str">
            <v>5710</v>
          </cell>
          <cell r="B79" t="str">
            <v>                5710</v>
          </cell>
          <cell r="C79" t="str">
            <v>Salaries</v>
          </cell>
          <cell r="D79">
            <v>2392355083</v>
          </cell>
          <cell r="E79"/>
          <cell r="F79"/>
          <cell r="G79"/>
          <cell r="H79">
            <v>2392355083</v>
          </cell>
        </row>
        <row r="80">
          <cell r="A80" t="str">
            <v>5711</v>
          </cell>
          <cell r="B80" t="str">
            <v>                5711</v>
          </cell>
          <cell r="C80" t="str">
            <v>Salary related cost</v>
          </cell>
          <cell r="D80">
            <v>790204541</v>
          </cell>
          <cell r="E80"/>
          <cell r="F80"/>
          <cell r="G80"/>
          <cell r="H80">
            <v>790204541</v>
          </cell>
        </row>
        <row r="81">
          <cell r="A81" t="str">
            <v>5714</v>
          </cell>
          <cell r="B81" t="str">
            <v>                5714</v>
          </cell>
          <cell r="C81" t="str">
            <v>Holiday allowance</v>
          </cell>
          <cell r="D81">
            <v>154609751</v>
          </cell>
          <cell r="E81"/>
          <cell r="F81"/>
          <cell r="G81"/>
          <cell r="H81">
            <v>154609751</v>
          </cell>
        </row>
        <row r="82">
          <cell r="A82" t="str">
            <v>5715</v>
          </cell>
          <cell r="B82" t="str">
            <v>                5715</v>
          </cell>
          <cell r="C82" t="str">
            <v>Bonus payments</v>
          </cell>
          <cell r="D82">
            <v>110747032</v>
          </cell>
          <cell r="E82"/>
          <cell r="F82"/>
          <cell r="G82"/>
          <cell r="H82">
            <v>110747032</v>
          </cell>
        </row>
        <row r="83">
          <cell r="A83" t="str">
            <v>5716</v>
          </cell>
          <cell r="B83" t="str">
            <v>                5716</v>
          </cell>
          <cell r="C83" t="str">
            <v>Bonus related cost</v>
          </cell>
          <cell r="D83">
            <v>2121873</v>
          </cell>
          <cell r="E83"/>
          <cell r="F83"/>
          <cell r="G83"/>
          <cell r="H83">
            <v>2121873</v>
          </cell>
        </row>
        <row r="84">
          <cell r="A84" t="str">
            <v>IS5720</v>
          </cell>
          <cell r="B84" t="str">
            <v>     IS5720</v>
          </cell>
          <cell r="C84" t="str">
            <v>Admin expenses</v>
          </cell>
          <cell r="D84">
            <v>2355280194</v>
          </cell>
          <cell r="E84"/>
          <cell r="F84"/>
          <cell r="G84"/>
          <cell r="H84">
            <v>2355280194</v>
          </cell>
        </row>
        <row r="85">
          <cell r="A85" t="str">
            <v>5720</v>
          </cell>
          <cell r="B85" t="str">
            <v>                5720</v>
          </cell>
          <cell r="C85" t="str">
            <v>Marketing cost</v>
          </cell>
          <cell r="D85">
            <v>193158622</v>
          </cell>
          <cell r="E85"/>
          <cell r="F85"/>
          <cell r="G85"/>
          <cell r="H85">
            <v>193158622</v>
          </cell>
        </row>
        <row r="86">
          <cell r="A86" t="str">
            <v>5725</v>
          </cell>
          <cell r="B86" t="str">
            <v>                5725</v>
          </cell>
          <cell r="C86" t="str">
            <v>IT cost</v>
          </cell>
          <cell r="D86">
            <v>754268980</v>
          </cell>
          <cell r="E86"/>
          <cell r="F86"/>
          <cell r="G86"/>
          <cell r="H86">
            <v>754268980</v>
          </cell>
        </row>
        <row r="87">
          <cell r="A87" t="str">
            <v>5740</v>
          </cell>
          <cell r="B87" t="str">
            <v>                5740</v>
          </cell>
          <cell r="C87" t="str">
            <v>Office cost</v>
          </cell>
          <cell r="D87">
            <v>194957661</v>
          </cell>
          <cell r="E87"/>
          <cell r="F87"/>
          <cell r="G87"/>
          <cell r="H87">
            <v>194957661</v>
          </cell>
        </row>
        <row r="88">
          <cell r="A88" t="str">
            <v>5745</v>
          </cell>
          <cell r="B88" t="str">
            <v>                5745</v>
          </cell>
          <cell r="C88" t="str">
            <v>Housing cost</v>
          </cell>
          <cell r="D88">
            <v>246379335</v>
          </cell>
          <cell r="E88"/>
          <cell r="F88"/>
          <cell r="G88"/>
          <cell r="H88">
            <v>246379335</v>
          </cell>
        </row>
        <row r="89">
          <cell r="A89" t="str">
            <v>5747</v>
          </cell>
          <cell r="B89" t="str">
            <v>                5747</v>
          </cell>
          <cell r="C89" t="str">
            <v>Op.exp.inv.prop.earn</v>
          </cell>
          <cell r="D89">
            <v>137124755</v>
          </cell>
          <cell r="E89"/>
          <cell r="F89"/>
          <cell r="G89"/>
          <cell r="H89">
            <v>137124755</v>
          </cell>
        </row>
        <row r="90">
          <cell r="A90" t="str">
            <v>5748</v>
          </cell>
          <cell r="B90" t="str">
            <v>                5748</v>
          </cell>
          <cell r="C90" t="str">
            <v>Op.exp.inv.prop.non</v>
          </cell>
          <cell r="D90">
            <v>1956924</v>
          </cell>
          <cell r="E90"/>
          <cell r="F90"/>
          <cell r="G90"/>
          <cell r="H90">
            <v>1956924</v>
          </cell>
        </row>
        <row r="91">
          <cell r="A91" t="str">
            <v>5749</v>
          </cell>
          <cell r="B91" t="str">
            <v>                5749</v>
          </cell>
          <cell r="C91" t="str">
            <v>Depos.guarantee fund</v>
          </cell>
          <cell r="D91">
            <v>202651847</v>
          </cell>
          <cell r="E91"/>
          <cell r="F91"/>
          <cell r="G91"/>
          <cell r="H91">
            <v>202651847</v>
          </cell>
        </row>
        <row r="92">
          <cell r="A92" t="str">
            <v>5750</v>
          </cell>
          <cell r="B92" t="str">
            <v>                5750</v>
          </cell>
          <cell r="C92" t="str">
            <v>Other admin cost</v>
          </cell>
          <cell r="D92">
            <v>173165877</v>
          </cell>
          <cell r="E92"/>
          <cell r="F92"/>
          <cell r="G92"/>
          <cell r="H92">
            <v>173165877</v>
          </cell>
        </row>
        <row r="93">
          <cell r="A93" t="str">
            <v>5755</v>
          </cell>
          <cell r="B93" t="str">
            <v>                5755</v>
          </cell>
          <cell r="C93" t="str">
            <v>Travel expenses</v>
          </cell>
          <cell r="D93">
            <v>51352873</v>
          </cell>
          <cell r="E93"/>
          <cell r="F93"/>
          <cell r="G93"/>
          <cell r="H93">
            <v>51352873</v>
          </cell>
        </row>
        <row r="94">
          <cell r="A94" t="str">
            <v>5712</v>
          </cell>
          <cell r="B94" t="str">
            <v>                5712</v>
          </cell>
          <cell r="C94" t="str">
            <v>Oth.staff rel.cost</v>
          </cell>
          <cell r="D94">
            <v>156592157</v>
          </cell>
          <cell r="E94"/>
          <cell r="F94"/>
          <cell r="G94"/>
          <cell r="H94">
            <v>156592157</v>
          </cell>
        </row>
        <row r="95">
          <cell r="A95" t="str">
            <v>5760</v>
          </cell>
          <cell r="B95" t="str">
            <v>                5760</v>
          </cell>
          <cell r="C95" t="str">
            <v>Professional service</v>
          </cell>
          <cell r="D95">
            <v>217684451</v>
          </cell>
          <cell r="E95"/>
          <cell r="F95"/>
          <cell r="G95"/>
          <cell r="H95">
            <v>217684451</v>
          </cell>
        </row>
        <row r="96">
          <cell r="A96" t="str">
            <v>5765</v>
          </cell>
          <cell r="B96" t="str">
            <v>                5765</v>
          </cell>
          <cell r="C96" t="str">
            <v>Other customer relat</v>
          </cell>
          <cell r="D96">
            <v>14124359</v>
          </cell>
          <cell r="E96"/>
          <cell r="F96"/>
          <cell r="G96"/>
          <cell r="H96">
            <v>14124359</v>
          </cell>
        </row>
        <row r="97">
          <cell r="A97" t="str">
            <v>5680</v>
          </cell>
          <cell r="B97" t="str">
            <v>                5680</v>
          </cell>
          <cell r="C97" t="str">
            <v>Other operating exp</v>
          </cell>
          <cell r="D97">
            <v>11862353</v>
          </cell>
          <cell r="E97"/>
          <cell r="F97"/>
          <cell r="G97"/>
          <cell r="H97">
            <v>11862353</v>
          </cell>
        </row>
        <row r="98">
          <cell r="A98" t="str">
            <v>IS5780</v>
          </cell>
          <cell r="B98" t="str">
            <v>     IS5780</v>
          </cell>
          <cell r="C98" t="str">
            <v>Iternal charges</v>
          </cell>
          <cell r="D98">
            <v>0</v>
          </cell>
          <cell r="E98"/>
          <cell r="F98"/>
          <cell r="G98"/>
          <cell r="H98">
            <v>0</v>
          </cell>
        </row>
        <row r="99">
          <cell r="A99" t="str">
            <v>5780</v>
          </cell>
          <cell r="B99" t="str">
            <v>                5780</v>
          </cell>
          <cell r="C99" t="str">
            <v>Internal ch. admin.</v>
          </cell>
          <cell r="D99">
            <v>0</v>
          </cell>
          <cell r="E99"/>
          <cell r="F99"/>
          <cell r="G99"/>
          <cell r="H99">
            <v>0</v>
          </cell>
        </row>
        <row r="100">
          <cell r="A100" t="str">
            <v>5794</v>
          </cell>
          <cell r="B100" t="str">
            <v>                5794</v>
          </cell>
          <cell r="C100" t="str">
            <v>Internal ch.cons.co.</v>
          </cell>
          <cell r="D100">
            <v>0</v>
          </cell>
          <cell r="E100"/>
          <cell r="F100"/>
          <cell r="G100"/>
          <cell r="H100">
            <v>0</v>
          </cell>
        </row>
        <row r="101">
          <cell r="A101" t="str">
            <v>IS5810</v>
          </cell>
          <cell r="B101" t="str">
            <v>     IS5810</v>
          </cell>
          <cell r="C101" t="str">
            <v>Deprec. &amp; amortis.</v>
          </cell>
          <cell r="D101">
            <v>318693764</v>
          </cell>
          <cell r="E101"/>
          <cell r="F101"/>
          <cell r="G101"/>
          <cell r="H101">
            <v>318693764</v>
          </cell>
        </row>
        <row r="102">
          <cell r="A102" t="str">
            <v>5810</v>
          </cell>
          <cell r="B102" t="str">
            <v>                5810</v>
          </cell>
          <cell r="C102" t="str">
            <v>Deprec. prop &amp; equip</v>
          </cell>
          <cell r="D102">
            <v>220928040</v>
          </cell>
          <cell r="E102"/>
          <cell r="F102"/>
          <cell r="G102"/>
          <cell r="H102">
            <v>220928040</v>
          </cell>
        </row>
        <row r="103">
          <cell r="A103" t="str">
            <v>5820</v>
          </cell>
          <cell r="B103" t="str">
            <v>                5820</v>
          </cell>
          <cell r="C103" t="str">
            <v>Depreciation int.ass</v>
          </cell>
          <cell r="D103">
            <v>97765724</v>
          </cell>
          <cell r="E103"/>
          <cell r="F103"/>
          <cell r="G103"/>
          <cell r="H103">
            <v>97765724</v>
          </cell>
        </row>
        <row r="104">
          <cell r="A104" t="str">
            <v>IS4670</v>
          </cell>
          <cell r="B104" t="str">
            <v>     IS4670</v>
          </cell>
          <cell r="C104" t="str">
            <v>Oth.operating expens</v>
          </cell>
          <cell r="D104">
            <v>-27583683</v>
          </cell>
          <cell r="E104"/>
          <cell r="F104"/>
          <cell r="G104"/>
          <cell r="H104">
            <v>-27583683</v>
          </cell>
        </row>
        <row r="105">
          <cell r="A105" t="str">
            <v>5821</v>
          </cell>
          <cell r="B105" t="str">
            <v>                5821</v>
          </cell>
          <cell r="C105" t="str">
            <v>Insurance claims</v>
          </cell>
          <cell r="D105">
            <v>72609734</v>
          </cell>
          <cell r="E105"/>
          <cell r="F105"/>
          <cell r="G105"/>
          <cell r="H105">
            <v>72609734</v>
          </cell>
        </row>
        <row r="106">
          <cell r="A106" t="str">
            <v>5875</v>
          </cell>
          <cell r="B106" t="str">
            <v>                5875</v>
          </cell>
          <cell r="C106" t="str">
            <v>P/L from non-curr.as</v>
          </cell>
          <cell r="D106">
            <v>-99377191</v>
          </cell>
          <cell r="E106"/>
          <cell r="F106"/>
          <cell r="G106"/>
          <cell r="H106">
            <v>-99377191</v>
          </cell>
        </row>
        <row r="107">
          <cell r="A107" t="str">
            <v>E5799</v>
          </cell>
          <cell r="B107" t="str">
            <v>                E5799</v>
          </cell>
          <cell r="C107" t="str">
            <v>Elim.diff.admin exp.</v>
          </cell>
          <cell r="D107">
            <v>-816226</v>
          </cell>
          <cell r="E107"/>
          <cell r="F107"/>
          <cell r="G107"/>
          <cell r="H107">
            <v>-816226</v>
          </cell>
        </row>
        <row r="108">
          <cell r="A108" t="str">
            <v>IS5825</v>
          </cell>
          <cell r="B108" t="str">
            <v>     IS5825</v>
          </cell>
          <cell r="C108" t="str">
            <v>Impairment on loans</v>
          </cell>
          <cell r="D108">
            <v>-1176281966</v>
          </cell>
          <cell r="E108"/>
          <cell r="F108"/>
          <cell r="G108"/>
          <cell r="H108">
            <v>-1176281966</v>
          </cell>
        </row>
        <row r="109">
          <cell r="A109" t="str">
            <v>5825</v>
          </cell>
          <cell r="B109" t="str">
            <v>                5825</v>
          </cell>
          <cell r="C109" t="str">
            <v>Impairment on LAR</v>
          </cell>
          <cell r="D109">
            <v>16288015970</v>
          </cell>
          <cell r="E109"/>
          <cell r="F109"/>
          <cell r="G109"/>
          <cell r="H109">
            <v>16288015970</v>
          </cell>
        </row>
        <row r="110">
          <cell r="A110" t="str">
            <v>5826</v>
          </cell>
          <cell r="B110" t="str">
            <v>                5826</v>
          </cell>
          <cell r="C110" t="str">
            <v>Adjm on prov on LAR</v>
          </cell>
          <cell r="D110">
            <v>-17464297936</v>
          </cell>
          <cell r="E110"/>
          <cell r="F110"/>
          <cell r="G110"/>
          <cell r="H110">
            <v>-17464297936</v>
          </cell>
        </row>
        <row r="111">
          <cell r="A111" t="str">
            <v>IS5827</v>
          </cell>
          <cell r="B111" t="str">
            <v>     IS5827</v>
          </cell>
          <cell r="C111" t="str">
            <v>Impairment oth asset</v>
          </cell>
          <cell r="D111">
            <v>0</v>
          </cell>
          <cell r="E111"/>
          <cell r="F111"/>
          <cell r="G111"/>
          <cell r="H111">
            <v>0</v>
          </cell>
        </row>
        <row r="112">
          <cell r="A112" t="str">
            <v>5850</v>
          </cell>
          <cell r="B112" t="str">
            <v>                5850</v>
          </cell>
          <cell r="C112" t="str">
            <v>Impairment on GW</v>
          </cell>
          <cell r="D112">
            <v>0</v>
          </cell>
          <cell r="E112"/>
          <cell r="F112"/>
          <cell r="G112"/>
          <cell r="H112">
            <v>0</v>
          </cell>
        </row>
        <row r="113">
          <cell r="A113" t="str">
            <v>IS5880</v>
          </cell>
          <cell r="B113" t="str">
            <v>     IS5880</v>
          </cell>
          <cell r="C113" t="str">
            <v>Tax expense</v>
          </cell>
          <cell r="D113">
            <v>1974874520</v>
          </cell>
          <cell r="E113"/>
          <cell r="F113"/>
          <cell r="G113"/>
          <cell r="H113">
            <v>1974874520</v>
          </cell>
        </row>
        <row r="114">
          <cell r="A114" t="str">
            <v>5880</v>
          </cell>
          <cell r="B114" t="str">
            <v>                5880</v>
          </cell>
          <cell r="C114" t="str">
            <v>Tax P/L</v>
          </cell>
          <cell r="D114">
            <v>1031770230</v>
          </cell>
          <cell r="E114"/>
          <cell r="F114"/>
          <cell r="G114"/>
          <cell r="H114">
            <v>1031770230</v>
          </cell>
        </row>
        <row r="115">
          <cell r="A115" t="str">
            <v>5881</v>
          </cell>
          <cell r="B115" t="str">
            <v>                5881</v>
          </cell>
          <cell r="C115" t="str">
            <v>Tax for fin.inst.P/L</v>
          </cell>
          <cell r="D115">
            <v>282942201</v>
          </cell>
          <cell r="E115"/>
          <cell r="F115"/>
          <cell r="G115"/>
          <cell r="H115">
            <v>282942201</v>
          </cell>
        </row>
        <row r="116">
          <cell r="A116" t="str">
            <v>5883</v>
          </cell>
          <cell r="B116" t="str">
            <v>                5883</v>
          </cell>
          <cell r="C116" t="str">
            <v>Bank Levy</v>
          </cell>
          <cell r="D116">
            <v>660162089</v>
          </cell>
          <cell r="E116"/>
          <cell r="F116"/>
          <cell r="G116"/>
          <cell r="H116">
            <v>660162089</v>
          </cell>
        </row>
        <row r="117">
          <cell r="A117" t="str">
            <v>IS5950</v>
          </cell>
          <cell r="B117" t="str">
            <v>     IS5950</v>
          </cell>
          <cell r="C117" t="str">
            <v>Minority interest</v>
          </cell>
          <cell r="D117">
            <v>55505947.840000004</v>
          </cell>
          <cell r="E117"/>
          <cell r="F117"/>
          <cell r="G117"/>
          <cell r="H117">
            <v>55505947.840000004</v>
          </cell>
        </row>
        <row r="118">
          <cell r="A118" t="str">
            <v>5950</v>
          </cell>
          <cell r="B118" t="str">
            <v>                5950</v>
          </cell>
          <cell r="C118" t="str">
            <v>Minority interest PL</v>
          </cell>
          <cell r="D118">
            <v>55505947.840000004</v>
          </cell>
          <cell r="E118"/>
          <cell r="F118"/>
          <cell r="G118"/>
          <cell r="H118">
            <v>55505947.840000004</v>
          </cell>
        </row>
        <row r="119">
          <cell r="A119" t="str">
            <v>ISPROF</v>
          </cell>
          <cell r="B119" t="str">
            <v>     ISPROF</v>
          </cell>
          <cell r="C119" t="str">
            <v>Profit for the year</v>
          </cell>
          <cell r="D119">
            <v>2808725386.1599998</v>
          </cell>
          <cell r="E119"/>
          <cell r="F119"/>
          <cell r="G119"/>
          <cell r="H119">
            <v>2808725386.1599998</v>
          </cell>
        </row>
        <row r="120">
          <cell r="A120" t="str">
            <v>5999</v>
          </cell>
          <cell r="B120" t="str">
            <v>                5999</v>
          </cell>
          <cell r="C120" t="str">
            <v>Profit for the year</v>
          </cell>
          <cell r="D120">
            <v>2808725386.1599998</v>
          </cell>
          <cell r="E120"/>
          <cell r="F120"/>
          <cell r="G120"/>
          <cell r="H120">
            <v>2808725386.1599998</v>
          </cell>
        </row>
        <row r="121">
          <cell r="A121" t="str">
            <v>IS6010</v>
          </cell>
          <cell r="B121" t="str">
            <v>     IS6010</v>
          </cell>
          <cell r="C121" t="str">
            <v>Common cost</v>
          </cell>
          <cell r="D121">
            <v>15</v>
          </cell>
          <cell r="E121"/>
          <cell r="F121"/>
          <cell r="G121"/>
          <cell r="H121">
            <v>15</v>
          </cell>
        </row>
        <row r="122">
          <cell r="A122" t="str">
            <v>6010</v>
          </cell>
          <cell r="B122" t="str">
            <v>                6010</v>
          </cell>
          <cell r="C122" t="str">
            <v>Common cost-admin</v>
          </cell>
          <cell r="D122">
            <v>-1</v>
          </cell>
          <cell r="E122"/>
          <cell r="F122"/>
          <cell r="G122"/>
          <cell r="H122">
            <v>-1</v>
          </cell>
        </row>
        <row r="123">
          <cell r="A123" t="str">
            <v>6019</v>
          </cell>
          <cell r="B123" t="str">
            <v>                6019</v>
          </cell>
          <cell r="C123" t="str">
            <v>Common cost-overhead</v>
          </cell>
          <cell r="D123">
            <v>0</v>
          </cell>
          <cell r="E123"/>
          <cell r="F123"/>
          <cell r="G123"/>
          <cell r="H123">
            <v>0</v>
          </cell>
        </row>
        <row r="124">
          <cell r="A124" t="str">
            <v>6060</v>
          </cell>
          <cell r="B124" t="str">
            <v>                6060</v>
          </cell>
          <cell r="C124" t="str">
            <v>Common cost-IT cost</v>
          </cell>
          <cell r="D124">
            <v>16</v>
          </cell>
          <cell r="E124"/>
          <cell r="F124"/>
          <cell r="G124"/>
          <cell r="H124">
            <v>16</v>
          </cell>
        </row>
        <row r="125">
          <cell r="A125" t="str">
            <v/>
          </cell>
          <cell r="B125"/>
          <cell r="C125"/>
          <cell r="D125"/>
          <cell r="E125"/>
          <cell r="F125"/>
          <cell r="G125"/>
          <cell r="H125"/>
        </row>
        <row r="126">
          <cell r="A126" t="str">
            <v/>
          </cell>
          <cell r="B126"/>
          <cell r="C126"/>
          <cell r="D126"/>
          <cell r="E126"/>
          <cell r="F126"/>
          <cell r="G126"/>
          <cell r="H126"/>
        </row>
        <row r="127">
          <cell r="A127" t="str">
            <v/>
          </cell>
          <cell r="B127"/>
          <cell r="C127"/>
          <cell r="D127"/>
          <cell r="E127"/>
          <cell r="F127"/>
          <cell r="G127"/>
          <cell r="H127"/>
        </row>
        <row r="128">
          <cell r="A128" t="str">
            <v/>
          </cell>
          <cell r="B128"/>
          <cell r="C128"/>
          <cell r="D128"/>
          <cell r="E128"/>
          <cell r="F128"/>
          <cell r="G128"/>
          <cell r="H128"/>
        </row>
        <row r="129">
          <cell r="A129" t="str">
            <v/>
          </cell>
          <cell r="B129"/>
          <cell r="C129"/>
          <cell r="D129"/>
          <cell r="E129"/>
          <cell r="F129"/>
          <cell r="G129"/>
          <cell r="H129"/>
        </row>
        <row r="130">
          <cell r="A130" t="str">
            <v/>
          </cell>
          <cell r="B130"/>
          <cell r="C130"/>
          <cell r="D130"/>
          <cell r="E130"/>
          <cell r="F130"/>
          <cell r="G130"/>
          <cell r="H130"/>
        </row>
        <row r="131">
          <cell r="A131" t="str">
            <v/>
          </cell>
          <cell r="B131"/>
          <cell r="C131"/>
          <cell r="D131"/>
          <cell r="E131"/>
          <cell r="F131"/>
          <cell r="G131"/>
          <cell r="H131"/>
        </row>
        <row r="132">
          <cell r="A132" t="str">
            <v/>
          </cell>
          <cell r="B132"/>
          <cell r="C132"/>
          <cell r="D132"/>
          <cell r="E132"/>
          <cell r="F132"/>
          <cell r="G132"/>
          <cell r="H132"/>
        </row>
      </sheetData>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C"/>
    <pageSetUpPr fitToPage="1"/>
  </sheetPr>
  <dimension ref="A53:A69"/>
  <sheetViews>
    <sheetView tabSelected="1" zoomScaleNormal="100" zoomScaleSheetLayoutView="100" zoomScalePageLayoutView="40" workbookViewId="0"/>
  </sheetViews>
  <sheetFormatPr defaultColWidth="9.140625" defaultRowHeight="15"/>
  <cols>
    <col min="1" max="13" width="9.140625" style="245"/>
    <col min="14" max="14" width="5.28515625" style="245" customWidth="1"/>
    <col min="15" max="16384" width="9.140625" style="245"/>
  </cols>
  <sheetData>
    <row r="53" ht="89.25" customHeight="1"/>
    <row r="69" ht="9" customHeight="1"/>
  </sheetData>
  <pageMargins left="0" right="0" top="0" bottom="0" header="0" footer="0"/>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C"/>
    <pageSetUpPr fitToPage="1"/>
  </sheetPr>
  <dimension ref="A1:N45"/>
  <sheetViews>
    <sheetView zoomScaleNormal="100" workbookViewId="0"/>
  </sheetViews>
  <sheetFormatPr defaultColWidth="9.140625" defaultRowHeight="14.25"/>
  <cols>
    <col min="1" max="1" width="42.28515625" style="268" customWidth="1"/>
    <col min="2" max="10" width="10" style="268" customWidth="1"/>
    <col min="11" max="13" width="9.28515625" style="268" customWidth="1"/>
    <col min="14" max="16384" width="9.140625" style="268"/>
  </cols>
  <sheetData>
    <row r="1" spans="1:14" ht="27.75" customHeight="1">
      <c r="A1" s="254" t="s">
        <v>331</v>
      </c>
      <c r="B1" s="255"/>
      <c r="C1" s="255"/>
      <c r="D1" s="255"/>
      <c r="E1" s="255"/>
      <c r="F1" s="255"/>
      <c r="G1" s="255"/>
      <c r="H1" s="255"/>
      <c r="I1" s="255"/>
      <c r="J1" s="255"/>
    </row>
    <row r="2" spans="1:14">
      <c r="A2" s="256" t="s">
        <v>315</v>
      </c>
      <c r="B2" s="314">
        <v>44651</v>
      </c>
      <c r="C2" s="314">
        <v>44561</v>
      </c>
      <c r="D2" s="314">
        <v>44469</v>
      </c>
      <c r="E2" s="314">
        <v>44377</v>
      </c>
      <c r="F2" s="314">
        <v>44286</v>
      </c>
      <c r="G2" s="314">
        <v>44196</v>
      </c>
      <c r="H2" s="314">
        <v>44104</v>
      </c>
      <c r="I2" s="314">
        <v>44012</v>
      </c>
      <c r="J2" s="314">
        <v>43921</v>
      </c>
    </row>
    <row r="3" spans="1:14">
      <c r="A3" s="258"/>
      <c r="B3" s="259"/>
      <c r="C3" s="259"/>
      <c r="D3" s="259"/>
      <c r="E3" s="259"/>
      <c r="F3" s="259"/>
      <c r="G3" s="259"/>
      <c r="H3" s="259"/>
      <c r="I3" s="259"/>
      <c r="J3" s="259"/>
    </row>
    <row r="4" spans="1:14">
      <c r="A4" s="260" t="s">
        <v>99</v>
      </c>
      <c r="B4" s="261"/>
      <c r="C4" s="261"/>
      <c r="D4" s="261"/>
      <c r="E4" s="261"/>
      <c r="F4" s="261"/>
      <c r="G4" s="261"/>
      <c r="H4" s="261"/>
      <c r="I4" s="261"/>
      <c r="J4" s="261"/>
    </row>
    <row r="5" spans="1:14">
      <c r="A5" s="262" t="s">
        <v>328</v>
      </c>
      <c r="B5" s="296">
        <v>64395</v>
      </c>
      <c r="C5" s="296">
        <v>69057</v>
      </c>
      <c r="D5" s="296">
        <v>70136</v>
      </c>
      <c r="E5" s="296">
        <v>69609</v>
      </c>
      <c r="F5" s="296">
        <v>60479</v>
      </c>
      <c r="G5" s="296">
        <v>42136</v>
      </c>
      <c r="H5" s="296">
        <v>87517</v>
      </c>
      <c r="I5" s="296">
        <v>103432</v>
      </c>
      <c r="J5" s="296">
        <v>118174</v>
      </c>
    </row>
    <row r="6" spans="1:14">
      <c r="A6" s="262" t="s">
        <v>23</v>
      </c>
      <c r="B6" s="296">
        <v>35868</v>
      </c>
      <c r="C6" s="296">
        <v>30272</v>
      </c>
      <c r="D6" s="296">
        <v>30376</v>
      </c>
      <c r="E6" s="296">
        <v>35701</v>
      </c>
      <c r="F6" s="296">
        <v>29251</v>
      </c>
      <c r="G6" s="296">
        <v>28235</v>
      </c>
      <c r="H6" s="296">
        <v>39484</v>
      </c>
      <c r="I6" s="296">
        <v>33597</v>
      </c>
      <c r="J6" s="296">
        <v>33797</v>
      </c>
    </row>
    <row r="7" spans="1:14">
      <c r="A7" s="262" t="s">
        <v>24</v>
      </c>
      <c r="B7" s="296">
        <v>976383</v>
      </c>
      <c r="C7" s="296">
        <v>936237</v>
      </c>
      <c r="D7" s="296">
        <v>896940</v>
      </c>
      <c r="E7" s="296">
        <v>843988</v>
      </c>
      <c r="F7" s="296">
        <v>837162</v>
      </c>
      <c r="G7" s="296">
        <v>822941</v>
      </c>
      <c r="H7" s="296">
        <v>807866</v>
      </c>
      <c r="I7" s="296">
        <v>779902</v>
      </c>
      <c r="J7" s="296">
        <v>778823</v>
      </c>
      <c r="K7" s="272"/>
      <c r="L7" s="269"/>
      <c r="N7" s="272"/>
    </row>
    <row r="8" spans="1:14">
      <c r="A8" s="262" t="s">
        <v>282</v>
      </c>
      <c r="B8" s="296">
        <v>185680</v>
      </c>
      <c r="C8" s="296">
        <v>225657</v>
      </c>
      <c r="D8" s="296">
        <v>249979</v>
      </c>
      <c r="E8" s="296">
        <v>213963</v>
      </c>
      <c r="F8" s="296">
        <v>197216</v>
      </c>
      <c r="G8" s="296">
        <v>227251</v>
      </c>
      <c r="H8" s="296">
        <v>234937</v>
      </c>
      <c r="I8" s="296">
        <v>197141</v>
      </c>
      <c r="J8" s="296">
        <v>192056</v>
      </c>
      <c r="N8" s="269"/>
    </row>
    <row r="9" spans="1:14">
      <c r="A9" s="262" t="s">
        <v>107</v>
      </c>
      <c r="B9" s="296">
        <v>6586</v>
      </c>
      <c r="C9" s="296">
        <v>6560</v>
      </c>
      <c r="D9" s="296">
        <v>6548</v>
      </c>
      <c r="E9" s="296">
        <v>6003</v>
      </c>
      <c r="F9" s="296">
        <v>6110</v>
      </c>
      <c r="G9" s="296">
        <v>6132</v>
      </c>
      <c r="H9" s="296">
        <v>6721</v>
      </c>
      <c r="I9" s="296">
        <v>7051</v>
      </c>
      <c r="J9" s="296">
        <v>7129</v>
      </c>
      <c r="L9" s="319"/>
    </row>
    <row r="10" spans="1:14">
      <c r="A10" s="262" t="s">
        <v>19</v>
      </c>
      <c r="B10" s="296">
        <v>700</v>
      </c>
      <c r="C10" s="296">
        <v>668</v>
      </c>
      <c r="D10" s="296">
        <v>704</v>
      </c>
      <c r="E10" s="296">
        <v>697</v>
      </c>
      <c r="F10" s="296">
        <v>892</v>
      </c>
      <c r="G10" s="296">
        <v>891</v>
      </c>
      <c r="H10" s="296">
        <v>913</v>
      </c>
      <c r="I10" s="296">
        <v>861</v>
      </c>
      <c r="J10" s="296">
        <v>828</v>
      </c>
      <c r="N10" s="309"/>
    </row>
    <row r="11" spans="1:14">
      <c r="A11" s="262" t="s">
        <v>17</v>
      </c>
      <c r="B11" s="296">
        <v>9239</v>
      </c>
      <c r="C11" s="296">
        <v>9463</v>
      </c>
      <c r="D11" s="296">
        <v>9732</v>
      </c>
      <c r="E11" s="296">
        <v>9996</v>
      </c>
      <c r="F11" s="296">
        <v>9892</v>
      </c>
      <c r="G11" s="296">
        <v>9689</v>
      </c>
      <c r="H11" s="296">
        <v>9398</v>
      </c>
      <c r="I11" s="296">
        <v>9077</v>
      </c>
      <c r="J11" s="296">
        <v>8826</v>
      </c>
    </row>
    <row r="12" spans="1:14">
      <c r="A12" s="262" t="s">
        <v>106</v>
      </c>
      <c r="B12" s="296">
        <v>754</v>
      </c>
      <c r="C12" s="296">
        <v>2</v>
      </c>
      <c r="D12" s="296">
        <v>2</v>
      </c>
      <c r="E12" s="296">
        <v>2</v>
      </c>
      <c r="F12" s="296">
        <v>2</v>
      </c>
      <c r="G12" s="296">
        <v>2</v>
      </c>
      <c r="H12" s="296">
        <v>2</v>
      </c>
      <c r="I12" s="296">
        <v>2</v>
      </c>
      <c r="J12" s="296">
        <v>2</v>
      </c>
    </row>
    <row r="13" spans="1:14">
      <c r="A13" s="262" t="s">
        <v>403</v>
      </c>
      <c r="B13" s="296">
        <v>14706</v>
      </c>
      <c r="C13" s="296">
        <v>16047</v>
      </c>
      <c r="D13" s="296">
        <v>16775</v>
      </c>
      <c r="E13" s="296">
        <v>19236</v>
      </c>
      <c r="F13" s="296">
        <v>16271</v>
      </c>
      <c r="G13" s="296">
        <v>16811</v>
      </c>
      <c r="H13" s="296">
        <v>30821</v>
      </c>
      <c r="I13" s="296">
        <v>30732</v>
      </c>
      <c r="J13" s="296">
        <v>28038</v>
      </c>
    </row>
    <row r="14" spans="1:14" s="274" customFormat="1" ht="15">
      <c r="A14" s="262" t="s">
        <v>18</v>
      </c>
      <c r="B14" s="297">
        <v>46704</v>
      </c>
      <c r="C14" s="297">
        <v>19901</v>
      </c>
      <c r="D14" s="297">
        <v>64900</v>
      </c>
      <c r="E14" s="297">
        <v>18725</v>
      </c>
      <c r="F14" s="297">
        <v>23818</v>
      </c>
      <c r="G14" s="297">
        <v>18618</v>
      </c>
      <c r="H14" s="297">
        <v>18557</v>
      </c>
      <c r="I14" s="297">
        <v>20454</v>
      </c>
      <c r="J14" s="297">
        <v>20147</v>
      </c>
      <c r="K14" s="268"/>
      <c r="L14" s="268"/>
      <c r="M14" s="268"/>
    </row>
    <row r="15" spans="1:14">
      <c r="A15" s="260" t="s">
        <v>15</v>
      </c>
      <c r="B15" s="298">
        <v>1341015</v>
      </c>
      <c r="C15" s="298">
        <v>1313864</v>
      </c>
      <c r="D15" s="298">
        <v>1346092</v>
      </c>
      <c r="E15" s="298">
        <v>1217920</v>
      </c>
      <c r="F15" s="298">
        <v>1181093</v>
      </c>
      <c r="G15" s="298">
        <v>1172707</v>
      </c>
      <c r="H15" s="298">
        <v>1236217</v>
      </c>
      <c r="I15" s="298">
        <v>1182250</v>
      </c>
      <c r="J15" s="298">
        <v>1187820</v>
      </c>
    </row>
    <row r="16" spans="1:14" ht="1.5" customHeight="1">
      <c r="B16" s="292"/>
      <c r="C16" s="292"/>
      <c r="D16" s="292"/>
      <c r="E16" s="292"/>
      <c r="F16" s="292"/>
      <c r="G16" s="292"/>
      <c r="H16" s="292"/>
      <c r="I16" s="292"/>
      <c r="J16" s="292"/>
    </row>
    <row r="17" spans="1:10">
      <c r="A17" s="277"/>
      <c r="B17" s="285"/>
      <c r="C17" s="285"/>
      <c r="D17" s="285"/>
      <c r="E17" s="285"/>
      <c r="F17" s="285"/>
      <c r="G17" s="285"/>
      <c r="H17" s="285"/>
      <c r="I17" s="285"/>
      <c r="J17" s="285"/>
    </row>
    <row r="18" spans="1:10">
      <c r="A18" s="260" t="s">
        <v>367</v>
      </c>
      <c r="B18" s="285"/>
      <c r="C18" s="285"/>
      <c r="D18" s="285"/>
      <c r="E18" s="285"/>
      <c r="F18" s="285"/>
      <c r="G18" s="285"/>
      <c r="H18" s="285"/>
      <c r="I18" s="285"/>
      <c r="J18" s="285"/>
    </row>
    <row r="19" spans="1:10">
      <c r="A19" s="262" t="s">
        <v>329</v>
      </c>
      <c r="B19" s="296">
        <v>4270</v>
      </c>
      <c r="C19" s="296">
        <v>5000</v>
      </c>
      <c r="D19" s="296">
        <v>8484</v>
      </c>
      <c r="E19" s="296">
        <v>7754</v>
      </c>
      <c r="F19" s="296">
        <v>9525</v>
      </c>
      <c r="G19" s="296">
        <v>13031</v>
      </c>
      <c r="H19" s="296">
        <v>10802</v>
      </c>
      <c r="I19" s="296">
        <v>7661</v>
      </c>
      <c r="J19" s="296">
        <v>8323</v>
      </c>
    </row>
    <row r="20" spans="1:10">
      <c r="A20" s="262" t="s">
        <v>14</v>
      </c>
      <c r="B20" s="296">
        <v>679925</v>
      </c>
      <c r="C20" s="296">
        <v>655476</v>
      </c>
      <c r="D20" s="296">
        <v>641306</v>
      </c>
      <c r="E20" s="296">
        <v>604382</v>
      </c>
      <c r="F20" s="296">
        <v>592540</v>
      </c>
      <c r="G20" s="296">
        <v>568424</v>
      </c>
      <c r="H20" s="296">
        <v>602842</v>
      </c>
      <c r="I20" s="296">
        <v>555855</v>
      </c>
      <c r="J20" s="296">
        <v>539312</v>
      </c>
    </row>
    <row r="21" spans="1:10">
      <c r="A21" s="262" t="s">
        <v>311</v>
      </c>
      <c r="B21" s="296">
        <v>12323</v>
      </c>
      <c r="C21" s="296">
        <v>5877</v>
      </c>
      <c r="D21" s="296">
        <v>5675</v>
      </c>
      <c r="E21" s="296">
        <v>5447</v>
      </c>
      <c r="F21" s="296">
        <v>6297</v>
      </c>
      <c r="G21" s="296">
        <v>5240</v>
      </c>
      <c r="H21" s="296">
        <v>3983</v>
      </c>
      <c r="I21" s="296">
        <v>3118</v>
      </c>
      <c r="J21" s="296">
        <v>4687</v>
      </c>
    </row>
    <row r="22" spans="1:10">
      <c r="A22" s="262" t="s">
        <v>108</v>
      </c>
      <c r="B22" s="296">
        <v>8080</v>
      </c>
      <c r="C22" s="296">
        <v>7102</v>
      </c>
      <c r="D22" s="296">
        <v>6989</v>
      </c>
      <c r="E22" s="296">
        <v>5905</v>
      </c>
      <c r="F22" s="296">
        <v>5443</v>
      </c>
      <c r="G22" s="296">
        <v>4262</v>
      </c>
      <c r="H22" s="296">
        <v>3053</v>
      </c>
      <c r="I22" s="296">
        <v>3882</v>
      </c>
      <c r="J22" s="296">
        <v>4195</v>
      </c>
    </row>
    <row r="23" spans="1:10" s="245" customFormat="1" ht="15">
      <c r="A23" s="262" t="s">
        <v>402</v>
      </c>
      <c r="B23" s="296">
        <v>15122</v>
      </c>
      <c r="C23" s="296">
        <v>16935</v>
      </c>
      <c r="D23" s="296">
        <v>16852</v>
      </c>
      <c r="E23" s="296">
        <v>18841</v>
      </c>
      <c r="F23" s="296">
        <v>8407</v>
      </c>
      <c r="G23" s="296">
        <v>16183</v>
      </c>
      <c r="H23" s="296">
        <v>26193</v>
      </c>
      <c r="I23" s="296">
        <v>26982</v>
      </c>
      <c r="J23" s="296">
        <v>22857</v>
      </c>
    </row>
    <row r="24" spans="1:10">
      <c r="A24" s="262" t="s">
        <v>20</v>
      </c>
      <c r="B24" s="296">
        <v>44582</v>
      </c>
      <c r="C24" s="296">
        <v>37151</v>
      </c>
      <c r="D24" s="296">
        <v>39698</v>
      </c>
      <c r="E24" s="296">
        <v>46055</v>
      </c>
      <c r="F24" s="296">
        <v>41083</v>
      </c>
      <c r="G24" s="296">
        <v>32715</v>
      </c>
      <c r="H24" s="296">
        <v>51068</v>
      </c>
      <c r="I24" s="296">
        <v>44479</v>
      </c>
      <c r="J24" s="296">
        <v>66260</v>
      </c>
    </row>
    <row r="25" spans="1:10">
      <c r="A25" s="262" t="s">
        <v>11</v>
      </c>
      <c r="B25" s="296">
        <v>370026</v>
      </c>
      <c r="C25" s="296">
        <v>356637</v>
      </c>
      <c r="D25" s="296">
        <v>397031</v>
      </c>
      <c r="E25" s="296">
        <v>301388</v>
      </c>
      <c r="F25" s="296">
        <v>293747</v>
      </c>
      <c r="G25" s="296">
        <v>298947</v>
      </c>
      <c r="H25" s="296">
        <v>308913</v>
      </c>
      <c r="I25" s="296">
        <v>314952</v>
      </c>
      <c r="J25" s="296">
        <v>322470</v>
      </c>
    </row>
    <row r="26" spans="1:10">
      <c r="A26" s="262" t="s">
        <v>357</v>
      </c>
      <c r="B26" s="297">
        <v>33674</v>
      </c>
      <c r="C26" s="297">
        <v>35088</v>
      </c>
      <c r="D26" s="297">
        <v>35477</v>
      </c>
      <c r="E26" s="297">
        <v>34543</v>
      </c>
      <c r="F26" s="297">
        <v>34633</v>
      </c>
      <c r="G26" s="297">
        <v>36059</v>
      </c>
      <c r="H26" s="297">
        <v>36867</v>
      </c>
      <c r="I26" s="297">
        <v>36494</v>
      </c>
      <c r="J26" s="297">
        <v>35837</v>
      </c>
    </row>
    <row r="27" spans="1:10">
      <c r="A27" s="260" t="s">
        <v>368</v>
      </c>
      <c r="B27" s="298">
        <v>1168002</v>
      </c>
      <c r="C27" s="298">
        <v>1119266</v>
      </c>
      <c r="D27" s="298">
        <v>1151512</v>
      </c>
      <c r="E27" s="298">
        <v>1024315</v>
      </c>
      <c r="F27" s="298">
        <v>991675</v>
      </c>
      <c r="G27" s="298">
        <v>974861</v>
      </c>
      <c r="H27" s="298">
        <v>1043721</v>
      </c>
      <c r="I27" s="298">
        <v>993423</v>
      </c>
      <c r="J27" s="298">
        <v>1003941</v>
      </c>
    </row>
    <row r="28" spans="1:10">
      <c r="A28" s="276"/>
      <c r="B28" s="285"/>
      <c r="C28" s="285"/>
      <c r="D28" s="285"/>
      <c r="E28" s="285"/>
      <c r="F28" s="285"/>
      <c r="G28" s="285"/>
      <c r="H28" s="285"/>
      <c r="I28" s="285"/>
      <c r="J28" s="285"/>
    </row>
    <row r="29" spans="1:10">
      <c r="A29" s="260" t="s">
        <v>21</v>
      </c>
      <c r="B29" s="285"/>
      <c r="C29" s="285"/>
      <c r="D29" s="285"/>
      <c r="E29" s="285"/>
      <c r="F29" s="285"/>
      <c r="G29" s="285"/>
      <c r="H29" s="285"/>
      <c r="I29" s="285"/>
      <c r="J29" s="285"/>
    </row>
    <row r="30" spans="1:10">
      <c r="A30" s="262" t="s">
        <v>353</v>
      </c>
      <c r="B30" s="296">
        <v>18956</v>
      </c>
      <c r="C30" s="296">
        <v>22685</v>
      </c>
      <c r="D30" s="296">
        <v>28663</v>
      </c>
      <c r="E30" s="296">
        <v>36345</v>
      </c>
      <c r="F30" s="296">
        <v>39386</v>
      </c>
      <c r="G30" s="296">
        <v>51331</v>
      </c>
      <c r="H30" s="296">
        <v>51331</v>
      </c>
      <c r="I30" s="296">
        <v>51330</v>
      </c>
      <c r="J30" s="296">
        <v>51334</v>
      </c>
    </row>
    <row r="31" spans="1:10">
      <c r="A31" s="262" t="s">
        <v>354</v>
      </c>
      <c r="B31" s="296">
        <v>11631</v>
      </c>
      <c r="C31" s="296">
        <v>12838</v>
      </c>
      <c r="D31" s="296">
        <v>12023</v>
      </c>
      <c r="E31" s="296">
        <v>12270</v>
      </c>
      <c r="F31" s="296">
        <v>12757</v>
      </c>
      <c r="G31" s="296">
        <v>11320</v>
      </c>
      <c r="H31" s="296">
        <v>12114</v>
      </c>
      <c r="I31" s="296">
        <v>11375</v>
      </c>
      <c r="J31" s="296">
        <v>10409</v>
      </c>
    </row>
    <row r="32" spans="1:10">
      <c r="A32" s="262" t="s">
        <v>355</v>
      </c>
      <c r="B32" s="297">
        <v>141747</v>
      </c>
      <c r="C32" s="297">
        <v>158403</v>
      </c>
      <c r="D32" s="297">
        <v>153214</v>
      </c>
      <c r="E32" s="297">
        <v>144810</v>
      </c>
      <c r="F32" s="297">
        <v>137101</v>
      </c>
      <c r="G32" s="297">
        <v>135021</v>
      </c>
      <c r="H32" s="297">
        <v>128879</v>
      </c>
      <c r="I32" s="297">
        <v>125951</v>
      </c>
      <c r="J32" s="297">
        <v>121959</v>
      </c>
    </row>
    <row r="33" spans="1:10">
      <c r="A33" s="260" t="s">
        <v>369</v>
      </c>
      <c r="B33" s="285">
        <v>172334</v>
      </c>
      <c r="C33" s="285">
        <v>193926</v>
      </c>
      <c r="D33" s="285">
        <v>193900</v>
      </c>
      <c r="E33" s="285">
        <v>193425</v>
      </c>
      <c r="F33" s="285">
        <v>189244</v>
      </c>
      <c r="G33" s="285">
        <v>197672</v>
      </c>
      <c r="H33" s="285">
        <v>192324</v>
      </c>
      <c r="I33" s="285">
        <v>188656</v>
      </c>
      <c r="J33" s="285">
        <v>183702</v>
      </c>
    </row>
    <row r="34" spans="1:10">
      <c r="A34" s="262" t="s">
        <v>321</v>
      </c>
      <c r="B34" s="291">
        <v>680</v>
      </c>
      <c r="C34" s="291">
        <v>673</v>
      </c>
      <c r="D34" s="291">
        <v>680</v>
      </c>
      <c r="E34" s="291">
        <v>180</v>
      </c>
      <c r="F34" s="291">
        <v>174</v>
      </c>
      <c r="G34" s="291">
        <v>173</v>
      </c>
      <c r="H34" s="291">
        <v>172</v>
      </c>
      <c r="I34" s="291">
        <v>171</v>
      </c>
      <c r="J34" s="291">
        <v>177</v>
      </c>
    </row>
    <row r="35" spans="1:10">
      <c r="A35" s="260" t="s">
        <v>51</v>
      </c>
      <c r="B35" s="292">
        <v>173014</v>
      </c>
      <c r="C35" s="292">
        <v>194599</v>
      </c>
      <c r="D35" s="292">
        <v>194580</v>
      </c>
      <c r="E35" s="292">
        <v>193605</v>
      </c>
      <c r="F35" s="292">
        <v>189418</v>
      </c>
      <c r="G35" s="292">
        <v>197845</v>
      </c>
      <c r="H35" s="292">
        <v>192496</v>
      </c>
      <c r="I35" s="292">
        <v>188827</v>
      </c>
      <c r="J35" s="292">
        <v>183879</v>
      </c>
    </row>
    <row r="36" spans="1:10">
      <c r="A36" s="260" t="s">
        <v>16</v>
      </c>
      <c r="B36" s="292">
        <v>1341016</v>
      </c>
      <c r="C36" s="292">
        <v>1313864</v>
      </c>
      <c r="D36" s="292">
        <v>1346092</v>
      </c>
      <c r="E36" s="292">
        <v>1217920</v>
      </c>
      <c r="F36" s="292">
        <v>1181093</v>
      </c>
      <c r="G36" s="292">
        <v>1172707</v>
      </c>
      <c r="H36" s="292">
        <v>1236217</v>
      </c>
      <c r="I36" s="292">
        <v>1182250</v>
      </c>
      <c r="J36" s="292">
        <v>1187820</v>
      </c>
    </row>
    <row r="37" spans="1:10" ht="1.5" customHeight="1">
      <c r="B37" s="275"/>
      <c r="C37" s="275"/>
      <c r="D37" s="275"/>
      <c r="E37" s="275"/>
      <c r="F37" s="275"/>
      <c r="G37" s="275"/>
      <c r="H37" s="275"/>
      <c r="I37" s="275"/>
      <c r="J37" s="275"/>
    </row>
    <row r="38" spans="1:10">
      <c r="B38" s="261"/>
      <c r="C38" s="261"/>
      <c r="D38" s="261"/>
      <c r="E38" s="261"/>
      <c r="F38" s="261"/>
      <c r="G38" s="261"/>
      <c r="H38" s="261"/>
      <c r="I38" s="261"/>
      <c r="J38" s="261"/>
    </row>
    <row r="39" spans="1:10">
      <c r="B39" s="261"/>
      <c r="C39" s="261"/>
      <c r="D39" s="261"/>
      <c r="E39" s="261"/>
      <c r="F39" s="261"/>
      <c r="G39" s="261"/>
      <c r="H39" s="261"/>
      <c r="I39" s="261"/>
      <c r="J39" s="261"/>
    </row>
    <row r="40" spans="1:10">
      <c r="B40" s="317"/>
      <c r="C40" s="317"/>
      <c r="D40" s="317"/>
      <c r="E40" s="317"/>
      <c r="F40" s="317"/>
      <c r="G40" s="317"/>
      <c r="H40" s="317"/>
      <c r="I40" s="317"/>
      <c r="J40" s="317"/>
    </row>
    <row r="41" spans="1:10">
      <c r="B41" s="261"/>
      <c r="C41" s="261"/>
      <c r="D41" s="261"/>
      <c r="E41" s="261"/>
      <c r="F41" s="261"/>
      <c r="G41" s="261"/>
      <c r="H41" s="261"/>
      <c r="I41" s="261"/>
      <c r="J41" s="261"/>
    </row>
    <row r="42" spans="1:10">
      <c r="B42" s="261"/>
      <c r="C42" s="261"/>
      <c r="D42" s="261"/>
      <c r="E42" s="261"/>
      <c r="F42" s="261"/>
      <c r="G42" s="261"/>
      <c r="H42" s="261"/>
      <c r="I42" s="261"/>
      <c r="J42" s="261"/>
    </row>
    <row r="43" spans="1:10">
      <c r="B43" s="261"/>
      <c r="C43" s="261"/>
      <c r="D43" s="261"/>
      <c r="E43" s="261"/>
      <c r="F43" s="261"/>
      <c r="G43" s="261"/>
      <c r="H43" s="261"/>
      <c r="I43" s="261"/>
      <c r="J43" s="261"/>
    </row>
    <row r="44" spans="1:10">
      <c r="B44" s="261"/>
      <c r="C44" s="261"/>
      <c r="D44" s="261"/>
      <c r="E44" s="261"/>
      <c r="F44" s="261"/>
      <c r="G44" s="261"/>
      <c r="H44" s="261"/>
      <c r="I44" s="261"/>
      <c r="J44" s="261"/>
    </row>
    <row r="45" spans="1:10">
      <c r="B45" s="261"/>
      <c r="C45" s="261"/>
      <c r="D45" s="261"/>
      <c r="E45" s="261"/>
      <c r="F45" s="261"/>
      <c r="G45" s="261"/>
      <c r="H45" s="261"/>
      <c r="I45" s="261"/>
      <c r="J45" s="261"/>
    </row>
  </sheetData>
  <pageMargins left="0.70866141732283472" right="0.70866141732283472" top="0.74803149606299213" bottom="0.74803149606299213" header="0.31496062992125984" footer="0.31496062992125984"/>
  <pageSetup paperSize="9" scale="94" firstPageNumber="13" orientation="landscape" useFirstPageNumber="1" r:id="rId1"/>
  <headerFooter>
    <oddFooter>&amp;L&amp;8______________________________________________________
&amp;"-,Italic"Arion Bank Factbook 31.03.2022&amp;C&amp;8&amp;P&amp;R&amp;"-,Italic"&amp;8______________________________________________________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C"/>
    <pageSetUpPr fitToPage="1"/>
  </sheetPr>
  <dimension ref="A1:T43"/>
  <sheetViews>
    <sheetView zoomScaleNormal="100" workbookViewId="0"/>
  </sheetViews>
  <sheetFormatPr defaultColWidth="9.140625" defaultRowHeight="14.25"/>
  <cols>
    <col min="1" max="1" width="47.5703125" style="268" customWidth="1"/>
    <col min="2" max="11" width="9" style="268" customWidth="1"/>
    <col min="12" max="16384" width="9.140625" style="268"/>
  </cols>
  <sheetData>
    <row r="1" spans="1:19" ht="27.75" customHeight="1">
      <c r="A1" s="254" t="s">
        <v>335</v>
      </c>
      <c r="B1" s="255"/>
      <c r="C1" s="255"/>
      <c r="D1" s="255"/>
      <c r="E1" s="255"/>
      <c r="F1" s="255"/>
      <c r="G1" s="255"/>
      <c r="H1" s="255"/>
      <c r="I1" s="255"/>
      <c r="J1" s="255"/>
    </row>
    <row r="2" spans="1:19">
      <c r="A2" s="256" t="s">
        <v>315</v>
      </c>
      <c r="B2" s="257" t="s">
        <v>445</v>
      </c>
      <c r="C2" s="257" t="s">
        <v>440</v>
      </c>
      <c r="D2" s="257" t="s">
        <v>439</v>
      </c>
      <c r="E2" s="257" t="s">
        <v>438</v>
      </c>
      <c r="F2" s="257" t="s">
        <v>437</v>
      </c>
      <c r="G2" s="257" t="s">
        <v>277</v>
      </c>
      <c r="H2" s="257" t="s">
        <v>276</v>
      </c>
      <c r="I2" s="257" t="s">
        <v>275</v>
      </c>
      <c r="J2" s="257" t="s">
        <v>274</v>
      </c>
    </row>
    <row r="3" spans="1:19">
      <c r="A3" s="258"/>
      <c r="B3" s="259"/>
      <c r="C3" s="259"/>
      <c r="D3" s="259"/>
      <c r="E3" s="259"/>
      <c r="F3" s="259"/>
      <c r="G3" s="259"/>
      <c r="H3" s="259"/>
      <c r="I3" s="259"/>
      <c r="J3" s="259"/>
    </row>
    <row r="4" spans="1:19">
      <c r="A4" s="260" t="s">
        <v>81</v>
      </c>
      <c r="B4" s="261"/>
      <c r="C4" s="261"/>
      <c r="D4" s="261"/>
      <c r="E4" s="261"/>
      <c r="F4" s="261"/>
      <c r="G4" s="261"/>
      <c r="H4" s="261"/>
      <c r="I4" s="261"/>
      <c r="J4" s="261"/>
    </row>
    <row r="5" spans="1:19">
      <c r="A5" s="262" t="s">
        <v>281</v>
      </c>
      <c r="B5" s="285">
        <v>392</v>
      </c>
      <c r="C5" s="285">
        <v>188</v>
      </c>
      <c r="D5" s="285">
        <v>176</v>
      </c>
      <c r="E5" s="285">
        <v>121</v>
      </c>
      <c r="F5" s="285">
        <v>88</v>
      </c>
      <c r="G5" s="285">
        <v>131</v>
      </c>
      <c r="H5" s="285">
        <v>227</v>
      </c>
      <c r="I5" s="285">
        <v>303</v>
      </c>
      <c r="J5" s="285">
        <v>774</v>
      </c>
    </row>
    <row r="6" spans="1:19">
      <c r="A6" s="262" t="s">
        <v>336</v>
      </c>
      <c r="B6" s="285">
        <v>16020</v>
      </c>
      <c r="C6" s="285">
        <v>13930</v>
      </c>
      <c r="D6" s="285">
        <v>11504</v>
      </c>
      <c r="E6" s="285">
        <v>13024</v>
      </c>
      <c r="F6" s="285">
        <v>10708</v>
      </c>
      <c r="G6" s="285">
        <v>11483</v>
      </c>
      <c r="H6" s="285">
        <v>11893</v>
      </c>
      <c r="I6" s="285">
        <v>12926</v>
      </c>
      <c r="J6" s="285">
        <v>10690</v>
      </c>
    </row>
    <row r="7" spans="1:19">
      <c r="A7" s="262" t="s">
        <v>12</v>
      </c>
      <c r="B7" s="285">
        <v>1054</v>
      </c>
      <c r="C7" s="285">
        <v>1058</v>
      </c>
      <c r="D7" s="285">
        <v>1078</v>
      </c>
      <c r="E7" s="285">
        <v>954</v>
      </c>
      <c r="F7" s="285">
        <v>939</v>
      </c>
      <c r="G7" s="285">
        <v>1073</v>
      </c>
      <c r="H7" s="285">
        <v>977</v>
      </c>
      <c r="I7" s="285">
        <v>538</v>
      </c>
      <c r="J7" s="285">
        <v>550</v>
      </c>
    </row>
    <row r="8" spans="1:19">
      <c r="A8" s="262" t="s">
        <v>13</v>
      </c>
      <c r="B8" s="291">
        <v>60</v>
      </c>
      <c r="C8" s="291">
        <v>48</v>
      </c>
      <c r="D8" s="291">
        <v>52</v>
      </c>
      <c r="E8" s="291">
        <v>46</v>
      </c>
      <c r="F8" s="291">
        <v>44</v>
      </c>
      <c r="G8" s="291">
        <v>19</v>
      </c>
      <c r="H8" s="291">
        <v>48</v>
      </c>
      <c r="I8" s="291">
        <v>68</v>
      </c>
      <c r="J8" s="291">
        <v>30</v>
      </c>
    </row>
    <row r="9" spans="1:19">
      <c r="A9" s="260" t="s">
        <v>81</v>
      </c>
      <c r="B9" s="292">
        <v>17526</v>
      </c>
      <c r="C9" s="292">
        <v>15224</v>
      </c>
      <c r="D9" s="292">
        <v>12810</v>
      </c>
      <c r="E9" s="292">
        <v>14145</v>
      </c>
      <c r="F9" s="292">
        <v>11779</v>
      </c>
      <c r="G9" s="292">
        <v>12706</v>
      </c>
      <c r="H9" s="292">
        <v>13145</v>
      </c>
      <c r="I9" s="292">
        <v>13835</v>
      </c>
      <c r="J9" s="292">
        <v>12044</v>
      </c>
      <c r="K9" s="272"/>
      <c r="L9" s="272"/>
      <c r="M9" s="272"/>
      <c r="N9" s="272"/>
      <c r="O9" s="272"/>
      <c r="P9" s="272"/>
      <c r="Q9" s="272"/>
      <c r="R9" s="272"/>
      <c r="S9" s="272"/>
    </row>
    <row r="10" spans="1:19">
      <c r="A10" s="277"/>
      <c r="B10" s="285"/>
      <c r="C10" s="285"/>
      <c r="D10" s="285"/>
      <c r="E10" s="285"/>
      <c r="F10" s="285"/>
      <c r="G10" s="285"/>
      <c r="H10" s="285"/>
      <c r="I10" s="285"/>
      <c r="J10" s="285"/>
    </row>
    <row r="11" spans="1:19">
      <c r="A11" s="260" t="s">
        <v>82</v>
      </c>
      <c r="B11" s="285"/>
      <c r="C11" s="285"/>
      <c r="D11" s="285"/>
      <c r="E11" s="285"/>
      <c r="F11" s="285"/>
      <c r="G11" s="285"/>
      <c r="H11" s="285"/>
      <c r="I11" s="285"/>
      <c r="J11" s="285"/>
    </row>
    <row r="12" spans="1:19">
      <c r="A12" s="262" t="s">
        <v>14</v>
      </c>
      <c r="B12" s="285">
        <v>-3478</v>
      </c>
      <c r="C12" s="285">
        <v>-2323</v>
      </c>
      <c r="D12" s="285">
        <v>-1386</v>
      </c>
      <c r="E12" s="285">
        <v>-1930</v>
      </c>
      <c r="F12" s="285">
        <v>-1181</v>
      </c>
      <c r="G12" s="285">
        <v>-1209</v>
      </c>
      <c r="H12" s="285">
        <v>-1455</v>
      </c>
      <c r="I12" s="285">
        <v>-1969</v>
      </c>
      <c r="J12" s="285">
        <v>-2011</v>
      </c>
    </row>
    <row r="13" spans="1:19">
      <c r="A13" s="262" t="s">
        <v>11</v>
      </c>
      <c r="B13" s="285">
        <v>-3957</v>
      </c>
      <c r="C13" s="285">
        <v>-3604</v>
      </c>
      <c r="D13" s="285">
        <v>-3003</v>
      </c>
      <c r="E13" s="285">
        <v>-3684</v>
      </c>
      <c r="F13" s="285">
        <v>-2774</v>
      </c>
      <c r="G13" s="285">
        <v>-2938</v>
      </c>
      <c r="H13" s="285">
        <v>-3181</v>
      </c>
      <c r="I13" s="285">
        <v>-3468</v>
      </c>
      <c r="J13" s="285">
        <v>-2443</v>
      </c>
    </row>
    <row r="14" spans="1:19">
      <c r="A14" s="262" t="s">
        <v>25</v>
      </c>
      <c r="B14" s="285">
        <v>-520</v>
      </c>
      <c r="C14" s="285">
        <v>-498</v>
      </c>
      <c r="D14" s="285">
        <v>-455</v>
      </c>
      <c r="E14" s="285">
        <v>-485</v>
      </c>
      <c r="F14" s="285">
        <v>-453</v>
      </c>
      <c r="G14" s="285">
        <v>-475</v>
      </c>
      <c r="H14" s="285">
        <v>-491</v>
      </c>
      <c r="I14" s="285">
        <v>-501</v>
      </c>
      <c r="J14" s="285">
        <v>-313</v>
      </c>
    </row>
    <row r="15" spans="1:19">
      <c r="A15" s="262" t="s">
        <v>13</v>
      </c>
      <c r="B15" s="291">
        <v>-43</v>
      </c>
      <c r="C15" s="291">
        <v>-31</v>
      </c>
      <c r="D15" s="291">
        <v>-29</v>
      </c>
      <c r="E15" s="291">
        <v>-30</v>
      </c>
      <c r="F15" s="291">
        <v>-29</v>
      </c>
      <c r="G15" s="291">
        <v>-25</v>
      </c>
      <c r="H15" s="291">
        <v>-29</v>
      </c>
      <c r="I15" s="291">
        <v>-40</v>
      </c>
      <c r="J15" s="291">
        <v>-24</v>
      </c>
    </row>
    <row r="16" spans="1:19">
      <c r="A16" s="260" t="s">
        <v>82</v>
      </c>
      <c r="B16" s="292">
        <v>-7998</v>
      </c>
      <c r="C16" s="292">
        <v>-6456</v>
      </c>
      <c r="D16" s="292">
        <v>-4873</v>
      </c>
      <c r="E16" s="292">
        <v>-6129</v>
      </c>
      <c r="F16" s="292">
        <v>-4437</v>
      </c>
      <c r="G16" s="292">
        <v>-4647</v>
      </c>
      <c r="H16" s="292">
        <v>-5156</v>
      </c>
      <c r="I16" s="292">
        <v>-5978</v>
      </c>
      <c r="J16" s="292">
        <v>-4791</v>
      </c>
      <c r="K16" s="272"/>
      <c r="L16" s="272"/>
      <c r="M16" s="272"/>
      <c r="N16" s="272"/>
      <c r="O16" s="272"/>
      <c r="P16" s="272"/>
      <c r="Q16" s="272"/>
      <c r="R16" s="272"/>
      <c r="S16" s="272"/>
    </row>
    <row r="17" spans="1:20">
      <c r="A17" s="264"/>
      <c r="B17" s="302"/>
      <c r="C17" s="302"/>
      <c r="D17" s="302"/>
      <c r="E17" s="302"/>
      <c r="F17" s="302"/>
      <c r="G17" s="303"/>
      <c r="H17" s="303"/>
      <c r="I17" s="303"/>
      <c r="J17" s="303"/>
    </row>
    <row r="18" spans="1:20">
      <c r="A18" s="260" t="s">
        <v>0</v>
      </c>
      <c r="B18" s="291">
        <v>9528</v>
      </c>
      <c r="C18" s="291">
        <v>8768</v>
      </c>
      <c r="D18" s="291">
        <v>7937</v>
      </c>
      <c r="E18" s="291">
        <v>8016</v>
      </c>
      <c r="F18" s="291">
        <v>7342</v>
      </c>
      <c r="G18" s="291">
        <v>8059</v>
      </c>
      <c r="H18" s="291">
        <v>7989</v>
      </c>
      <c r="I18" s="291">
        <v>7857</v>
      </c>
      <c r="J18" s="291">
        <v>7253</v>
      </c>
      <c r="K18" s="272"/>
      <c r="L18" s="272"/>
      <c r="M18" s="272"/>
      <c r="N18" s="272"/>
      <c r="O18" s="272"/>
      <c r="P18" s="272"/>
      <c r="Q18" s="272"/>
      <c r="R18" s="272"/>
      <c r="S18" s="272"/>
      <c r="T18" s="272"/>
    </row>
    <row r="19" spans="1:20" ht="1.5" customHeight="1">
      <c r="A19" s="260"/>
      <c r="B19" s="292"/>
      <c r="C19" s="292"/>
      <c r="D19" s="292"/>
      <c r="E19" s="292"/>
      <c r="F19" s="292"/>
      <c r="G19" s="292"/>
      <c r="H19" s="292"/>
      <c r="I19" s="292"/>
      <c r="J19" s="292"/>
    </row>
    <row r="20" spans="1:20">
      <c r="A20" s="277"/>
      <c r="B20" s="285"/>
      <c r="C20" s="285"/>
      <c r="D20" s="285"/>
      <c r="E20" s="285"/>
      <c r="F20" s="285"/>
      <c r="G20" s="264"/>
      <c r="H20" s="264"/>
      <c r="I20" s="264"/>
      <c r="J20" s="264"/>
    </row>
    <row r="21" spans="1:20">
      <c r="A21" s="260" t="s">
        <v>310</v>
      </c>
      <c r="B21" s="290"/>
      <c r="C21" s="290"/>
      <c r="D21" s="290"/>
      <c r="E21" s="290"/>
      <c r="F21" s="290"/>
      <c r="G21" s="264"/>
      <c r="H21" s="264"/>
      <c r="I21" s="264"/>
      <c r="J21" s="264"/>
    </row>
    <row r="22" spans="1:20">
      <c r="A22" s="262" t="s">
        <v>328</v>
      </c>
      <c r="B22" s="285">
        <v>64395</v>
      </c>
      <c r="C22" s="285">
        <v>69057</v>
      </c>
      <c r="D22" s="285">
        <v>70136</v>
      </c>
      <c r="E22" s="285">
        <v>69609</v>
      </c>
      <c r="F22" s="285">
        <v>60479</v>
      </c>
      <c r="G22" s="285">
        <v>42136</v>
      </c>
      <c r="H22" s="285">
        <v>87517</v>
      </c>
      <c r="I22" s="285">
        <v>103432</v>
      </c>
      <c r="J22" s="285">
        <v>118174</v>
      </c>
    </row>
    <row r="23" spans="1:20">
      <c r="A23" s="262" t="s">
        <v>336</v>
      </c>
      <c r="B23" s="285">
        <v>1012251</v>
      </c>
      <c r="C23" s="285">
        <v>966509</v>
      </c>
      <c r="D23" s="285">
        <v>927316</v>
      </c>
      <c r="E23" s="285">
        <v>879689</v>
      </c>
      <c r="F23" s="285">
        <v>866413</v>
      </c>
      <c r="G23" s="285">
        <v>851176</v>
      </c>
      <c r="H23" s="285">
        <v>847350</v>
      </c>
      <c r="I23" s="285">
        <v>813499</v>
      </c>
      <c r="J23" s="285">
        <v>812620</v>
      </c>
    </row>
    <row r="24" spans="1:20">
      <c r="A24" s="262" t="s">
        <v>12</v>
      </c>
      <c r="B24" s="291">
        <v>121721.84502972</v>
      </c>
      <c r="C24" s="291">
        <v>168800.86298530002</v>
      </c>
      <c r="D24" s="291">
        <v>195017.47654907001</v>
      </c>
      <c r="E24" s="291">
        <v>167644.02652780002</v>
      </c>
      <c r="F24" s="291">
        <v>154346.37932158</v>
      </c>
      <c r="G24" s="291">
        <v>192243.63590376999</v>
      </c>
      <c r="H24" s="291">
        <v>202782.98761247002</v>
      </c>
      <c r="I24" s="291">
        <v>167516.50259823003</v>
      </c>
      <c r="J24" s="291">
        <v>163127.27970473003</v>
      </c>
    </row>
    <row r="25" spans="1:20">
      <c r="A25" s="260" t="s">
        <v>310</v>
      </c>
      <c r="B25" s="292">
        <v>1198367.8450297201</v>
      </c>
      <c r="C25" s="292">
        <v>1204366.8629852999</v>
      </c>
      <c r="D25" s="292">
        <v>1192469.4765490701</v>
      </c>
      <c r="E25" s="292">
        <v>1116942.0265278001</v>
      </c>
      <c r="F25" s="292">
        <v>1081238.3793215801</v>
      </c>
      <c r="G25" s="292">
        <v>1085555.6359037701</v>
      </c>
      <c r="H25" s="292">
        <v>1137649.9876124701</v>
      </c>
      <c r="I25" s="292">
        <v>1084447.50259823</v>
      </c>
      <c r="J25" s="292">
        <v>1093921.27970473</v>
      </c>
    </row>
    <row r="26" spans="1:20">
      <c r="A26" s="277"/>
      <c r="B26" s="285"/>
      <c r="C26" s="290"/>
      <c r="D26" s="290"/>
      <c r="E26" s="290"/>
      <c r="F26" s="290"/>
      <c r="G26" s="264"/>
      <c r="H26" s="264"/>
      <c r="I26" s="264"/>
      <c r="J26" s="264"/>
    </row>
    <row r="27" spans="1:20">
      <c r="A27" s="260" t="s">
        <v>89</v>
      </c>
      <c r="B27" s="285"/>
      <c r="C27" s="290"/>
      <c r="D27" s="290"/>
      <c r="E27" s="290"/>
      <c r="F27" s="290"/>
      <c r="G27" s="264"/>
      <c r="H27" s="264"/>
      <c r="I27" s="264"/>
      <c r="J27" s="264"/>
    </row>
    <row r="28" spans="1:20">
      <c r="A28" s="262" t="s">
        <v>329</v>
      </c>
      <c r="B28" s="285">
        <v>4270</v>
      </c>
      <c r="C28" s="285">
        <v>5000</v>
      </c>
      <c r="D28" s="285">
        <v>8484</v>
      </c>
      <c r="E28" s="285">
        <v>7754</v>
      </c>
      <c r="F28" s="285">
        <v>9525</v>
      </c>
      <c r="G28" s="285">
        <v>13031</v>
      </c>
      <c r="H28" s="285">
        <v>10802</v>
      </c>
      <c r="I28" s="285">
        <v>7661</v>
      </c>
      <c r="J28" s="285">
        <v>8323</v>
      </c>
    </row>
    <row r="29" spans="1:20">
      <c r="A29" s="262" t="s">
        <v>14</v>
      </c>
      <c r="B29" s="285">
        <v>679925</v>
      </c>
      <c r="C29" s="285">
        <v>655476</v>
      </c>
      <c r="D29" s="285">
        <v>641306</v>
      </c>
      <c r="E29" s="285">
        <v>604382</v>
      </c>
      <c r="F29" s="285">
        <v>592540</v>
      </c>
      <c r="G29" s="285">
        <v>568424</v>
      </c>
      <c r="H29" s="285">
        <v>602842</v>
      </c>
      <c r="I29" s="285">
        <v>555855</v>
      </c>
      <c r="J29" s="285">
        <v>539312</v>
      </c>
    </row>
    <row r="30" spans="1:20">
      <c r="A30" s="262" t="s">
        <v>311</v>
      </c>
      <c r="B30" s="285">
        <v>12323</v>
      </c>
      <c r="C30" s="285">
        <v>5877</v>
      </c>
      <c r="D30" s="285">
        <v>5675</v>
      </c>
      <c r="E30" s="285">
        <v>5447</v>
      </c>
      <c r="F30" s="285">
        <v>6297</v>
      </c>
      <c r="G30" s="285">
        <v>5240</v>
      </c>
      <c r="H30" s="285">
        <v>3983</v>
      </c>
      <c r="I30" s="285">
        <v>3118</v>
      </c>
      <c r="J30" s="285">
        <v>4687</v>
      </c>
    </row>
    <row r="31" spans="1:20">
      <c r="A31" s="262" t="s">
        <v>11</v>
      </c>
      <c r="B31" s="285">
        <v>370026</v>
      </c>
      <c r="C31" s="285">
        <v>356637</v>
      </c>
      <c r="D31" s="285">
        <v>397031</v>
      </c>
      <c r="E31" s="285">
        <v>301388</v>
      </c>
      <c r="F31" s="285">
        <v>293747</v>
      </c>
      <c r="G31" s="285">
        <v>298947</v>
      </c>
      <c r="H31" s="285">
        <v>308913</v>
      </c>
      <c r="I31" s="285">
        <v>314952</v>
      </c>
      <c r="J31" s="285">
        <v>322470</v>
      </c>
    </row>
    <row r="32" spans="1:20">
      <c r="A32" s="262" t="s">
        <v>357</v>
      </c>
      <c r="B32" s="291">
        <v>33674</v>
      </c>
      <c r="C32" s="291">
        <v>35088</v>
      </c>
      <c r="D32" s="291">
        <v>35477</v>
      </c>
      <c r="E32" s="291">
        <v>34543</v>
      </c>
      <c r="F32" s="291">
        <v>34632</v>
      </c>
      <c r="G32" s="291">
        <v>36060</v>
      </c>
      <c r="H32" s="291">
        <v>36867</v>
      </c>
      <c r="I32" s="291">
        <v>36494</v>
      </c>
      <c r="J32" s="291">
        <v>35837</v>
      </c>
    </row>
    <row r="33" spans="1:10">
      <c r="A33" s="260" t="s">
        <v>89</v>
      </c>
      <c r="B33" s="292">
        <v>1100218</v>
      </c>
      <c r="C33" s="292">
        <v>1058078</v>
      </c>
      <c r="D33" s="292">
        <v>1087973</v>
      </c>
      <c r="E33" s="292">
        <v>953514</v>
      </c>
      <c r="F33" s="292">
        <v>936741</v>
      </c>
      <c r="G33" s="292">
        <v>921702</v>
      </c>
      <c r="H33" s="292">
        <v>963407</v>
      </c>
      <c r="I33" s="292">
        <v>918080</v>
      </c>
      <c r="J33" s="292">
        <v>910629</v>
      </c>
    </row>
    <row r="34" spans="1:10">
      <c r="B34" s="304"/>
      <c r="C34" s="304"/>
      <c r="D34" s="304"/>
      <c r="E34" s="304"/>
      <c r="F34" s="304"/>
      <c r="G34" s="304"/>
      <c r="H34" s="304"/>
      <c r="I34" s="304"/>
      <c r="J34" s="304"/>
    </row>
    <row r="35" spans="1:10">
      <c r="A35" s="260" t="s">
        <v>52</v>
      </c>
      <c r="B35" s="285">
        <v>98149.845029720105</v>
      </c>
      <c r="C35" s="285">
        <v>146288.8629852999</v>
      </c>
      <c r="D35" s="285">
        <v>104496.4765490701</v>
      </c>
      <c r="E35" s="285">
        <v>163428.02652780013</v>
      </c>
      <c r="F35" s="285">
        <v>144497.37932158005</v>
      </c>
      <c r="G35" s="285">
        <v>163853.6359037701</v>
      </c>
      <c r="H35" s="285">
        <v>174242.98761247005</v>
      </c>
      <c r="I35" s="285">
        <v>166367.50259823003</v>
      </c>
      <c r="J35" s="285">
        <v>183292.27970473003</v>
      </c>
    </row>
    <row r="36" spans="1:10" ht="1.5" customHeight="1">
      <c r="A36" s="260"/>
      <c r="B36" s="292"/>
      <c r="C36" s="292"/>
      <c r="D36" s="292"/>
      <c r="E36" s="292"/>
      <c r="F36" s="292"/>
      <c r="G36" s="292"/>
      <c r="H36" s="292"/>
      <c r="I36" s="292"/>
      <c r="J36" s="292"/>
    </row>
    <row r="37" spans="1:10">
      <c r="A37" s="277"/>
      <c r="B37" s="264"/>
      <c r="C37" s="264"/>
      <c r="D37" s="264"/>
      <c r="E37" s="264"/>
      <c r="F37" s="264"/>
      <c r="G37" s="264"/>
      <c r="H37" s="264"/>
      <c r="I37" s="264"/>
      <c r="J37" s="264"/>
    </row>
    <row r="38" spans="1:10">
      <c r="A38" s="260" t="s">
        <v>366</v>
      </c>
      <c r="B38" s="288">
        <v>3.0948828498771508E-2</v>
      </c>
      <c r="C38" s="288">
        <v>2.8338292662148844E-2</v>
      </c>
      <c r="D38" s="288">
        <v>2.6614413100353843E-2</v>
      </c>
      <c r="E38" s="288">
        <v>2.8716572626646061E-2</v>
      </c>
      <c r="F38" s="288">
        <v>2.667089004280173E-2</v>
      </c>
      <c r="G38" s="288">
        <v>2.8688298691761378E-2</v>
      </c>
      <c r="H38" s="288">
        <v>2.8520840880803547E-2</v>
      </c>
      <c r="I38" s="288">
        <v>2.8555542118353375E-2</v>
      </c>
      <c r="J38" s="288">
        <v>2.7837300426285343E-2</v>
      </c>
    </row>
    <row r="39" spans="1:10">
      <c r="B39" s="264"/>
      <c r="C39" s="264"/>
      <c r="D39" s="264"/>
      <c r="E39" s="264"/>
      <c r="F39" s="264"/>
      <c r="G39" s="264"/>
      <c r="H39" s="264"/>
      <c r="I39" s="264"/>
      <c r="J39" s="264"/>
    </row>
    <row r="40" spans="1:10">
      <c r="B40" s="264"/>
      <c r="C40" s="264"/>
      <c r="D40" s="264"/>
      <c r="E40" s="264"/>
      <c r="F40" s="264"/>
      <c r="G40" s="264"/>
      <c r="H40" s="264"/>
      <c r="I40" s="264"/>
      <c r="J40" s="264"/>
    </row>
    <row r="41" spans="1:10">
      <c r="B41" s="264"/>
      <c r="C41" s="264"/>
      <c r="D41" s="264"/>
      <c r="E41" s="264"/>
      <c r="F41" s="264"/>
      <c r="G41" s="264"/>
      <c r="H41" s="264"/>
      <c r="I41" s="264"/>
      <c r="J41" s="264"/>
    </row>
    <row r="42" spans="1:10">
      <c r="B42" s="264"/>
      <c r="C42" s="264"/>
      <c r="D42" s="264"/>
      <c r="E42" s="264"/>
      <c r="F42" s="264"/>
      <c r="G42" s="264"/>
      <c r="H42" s="264"/>
      <c r="I42" s="264"/>
      <c r="J42" s="264"/>
    </row>
    <row r="43" spans="1:10">
      <c r="B43" s="264"/>
      <c r="C43" s="264"/>
      <c r="D43" s="264"/>
      <c r="E43" s="264"/>
      <c r="F43" s="264"/>
      <c r="G43" s="264"/>
      <c r="H43" s="264"/>
      <c r="I43" s="264"/>
      <c r="J43" s="264"/>
    </row>
  </sheetData>
  <pageMargins left="0.70866141732283472" right="0.70866141732283472" top="0.74803149606299213" bottom="0.74803149606299213" header="0.31496062992125984" footer="0.31496062992125984"/>
  <pageSetup paperSize="9" scale="92" firstPageNumber="14" orientation="landscape" useFirstPageNumber="1" r:id="rId1"/>
  <headerFooter>
    <oddFooter xml:space="preserve">&amp;L&amp;8______________________________________________________
&amp;"-,Italic"Arion Bank Factbook 31.03.2022&amp;C&amp;8&amp;P&amp;R&amp;8__________________________&amp;"-,Italic"____________________________
All amounts are in ISK millions
</oddFooter>
  </headerFooter>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C"/>
  </sheetPr>
  <dimension ref="A1:O40"/>
  <sheetViews>
    <sheetView topLeftCell="A2" zoomScaleNormal="100" zoomScaleSheetLayoutView="100" workbookViewId="0"/>
  </sheetViews>
  <sheetFormatPr defaultColWidth="9.140625" defaultRowHeight="14.25"/>
  <cols>
    <col min="1" max="1" width="45.28515625" style="268" customWidth="1"/>
    <col min="2" max="10" width="10" style="268" customWidth="1"/>
    <col min="11" max="11" width="40.28515625" style="268" customWidth="1"/>
    <col min="12" max="16384" width="9.140625" style="268"/>
  </cols>
  <sheetData>
    <row r="1" spans="1:10" hidden="1">
      <c r="B1" s="279">
        <v>0</v>
      </c>
      <c r="C1" s="279">
        <v>1</v>
      </c>
      <c r="D1" s="279">
        <v>2</v>
      </c>
      <c r="E1" s="279">
        <v>3</v>
      </c>
      <c r="F1" s="279">
        <v>4</v>
      </c>
      <c r="G1" s="279">
        <v>5</v>
      </c>
      <c r="H1" s="279">
        <v>6</v>
      </c>
      <c r="I1" s="279">
        <v>7</v>
      </c>
      <c r="J1" s="279">
        <v>8</v>
      </c>
    </row>
    <row r="2" spans="1:10" ht="27.75" customHeight="1">
      <c r="A2" s="340" t="s">
        <v>372</v>
      </c>
      <c r="B2" s="340"/>
      <c r="C2" s="340"/>
      <c r="D2" s="340"/>
      <c r="E2" s="340"/>
      <c r="F2" s="340"/>
      <c r="G2" s="340"/>
      <c r="H2" s="340"/>
      <c r="I2" s="340"/>
      <c r="J2" s="340"/>
    </row>
    <row r="3" spans="1:10">
      <c r="A3" s="256" t="s">
        <v>315</v>
      </c>
      <c r="B3" s="314">
        <v>44651</v>
      </c>
      <c r="C3" s="314">
        <v>44561</v>
      </c>
      <c r="D3" s="314">
        <v>44469</v>
      </c>
      <c r="E3" s="314">
        <v>44377</v>
      </c>
      <c r="F3" s="314">
        <v>44286</v>
      </c>
      <c r="G3" s="314">
        <v>44196</v>
      </c>
      <c r="H3" s="314">
        <v>44104</v>
      </c>
      <c r="I3" s="314">
        <v>44012</v>
      </c>
      <c r="J3" s="314">
        <v>43921</v>
      </c>
    </row>
    <row r="4" spans="1:10">
      <c r="A4" s="258"/>
      <c r="B4" s="259"/>
      <c r="C4" s="259"/>
      <c r="D4" s="259"/>
      <c r="E4" s="259"/>
      <c r="F4" s="259"/>
      <c r="G4" s="259"/>
      <c r="H4" s="259"/>
      <c r="I4" s="259"/>
      <c r="J4" s="259"/>
    </row>
    <row r="5" spans="1:10">
      <c r="A5" s="260" t="s">
        <v>24</v>
      </c>
      <c r="B5" s="261"/>
      <c r="C5" s="261"/>
      <c r="D5" s="261"/>
      <c r="E5" s="261"/>
      <c r="F5" s="261"/>
    </row>
    <row r="6" spans="1:10">
      <c r="A6" s="262" t="s">
        <v>28</v>
      </c>
      <c r="B6" s="285">
        <v>534395</v>
      </c>
      <c r="C6" s="285">
        <v>526498</v>
      </c>
      <c r="D6" s="285">
        <v>501578</v>
      </c>
      <c r="E6" s="285">
        <v>472550</v>
      </c>
      <c r="F6" s="285">
        <v>446996</v>
      </c>
      <c r="G6" s="285">
        <v>433336</v>
      </c>
      <c r="H6" s="285">
        <v>414320</v>
      </c>
      <c r="I6" s="285">
        <v>388747</v>
      </c>
      <c r="J6" s="285">
        <v>374005</v>
      </c>
    </row>
    <row r="7" spans="1:10">
      <c r="A7" s="264" t="s">
        <v>340</v>
      </c>
      <c r="B7" s="291">
        <v>441988</v>
      </c>
      <c r="C7" s="291">
        <v>409739</v>
      </c>
      <c r="D7" s="291">
        <v>395362</v>
      </c>
      <c r="E7" s="291">
        <v>371438</v>
      </c>
      <c r="F7" s="291">
        <v>390166</v>
      </c>
      <c r="G7" s="291">
        <v>389605</v>
      </c>
      <c r="H7" s="291">
        <v>393546</v>
      </c>
      <c r="I7" s="291">
        <v>391155</v>
      </c>
      <c r="J7" s="291">
        <v>404818</v>
      </c>
    </row>
    <row r="8" spans="1:10">
      <c r="A8" s="260" t="s">
        <v>87</v>
      </c>
      <c r="B8" s="292">
        <v>976383</v>
      </c>
      <c r="C8" s="292">
        <v>936237</v>
      </c>
      <c r="D8" s="292">
        <v>896940</v>
      </c>
      <c r="E8" s="292">
        <v>843988</v>
      </c>
      <c r="F8" s="292">
        <v>837162</v>
      </c>
      <c r="G8" s="292">
        <v>822941</v>
      </c>
      <c r="H8" s="292">
        <v>807866</v>
      </c>
      <c r="I8" s="292">
        <v>779902</v>
      </c>
      <c r="J8" s="292">
        <v>778823</v>
      </c>
    </row>
    <row r="9" spans="1:10">
      <c r="A9" s="277"/>
      <c r="B9" s="285"/>
      <c r="C9" s="285"/>
      <c r="D9" s="285"/>
      <c r="E9" s="285"/>
      <c r="F9" s="285"/>
      <c r="G9" s="264"/>
      <c r="H9" s="264"/>
      <c r="I9" s="264"/>
      <c r="J9" s="264"/>
    </row>
    <row r="10" spans="1:10">
      <c r="A10" s="262" t="s">
        <v>400</v>
      </c>
      <c r="B10" s="284">
        <v>1.6332522311564426E-2</v>
      </c>
      <c r="C10" s="284">
        <v>1.896302009774993E-2</v>
      </c>
      <c r="D10" s="284">
        <v>2.5602050548402481E-2</v>
      </c>
      <c r="E10" s="284">
        <v>2.7814102383831567E-2</v>
      </c>
      <c r="F10" s="284">
        <v>2.85397140372501E-2</v>
      </c>
      <c r="G10" s="284">
        <v>2.6172517778485695E-2</v>
      </c>
      <c r="H10" s="284">
        <v>3.1795703204400255E-2</v>
      </c>
      <c r="I10" s="284">
        <v>3.4434815083036946E-2</v>
      </c>
      <c r="J10" s="284">
        <v>2.9361980236569551E-2</v>
      </c>
    </row>
    <row r="11" spans="1:10">
      <c r="A11" s="262"/>
      <c r="B11" s="284"/>
      <c r="C11" s="284"/>
      <c r="D11" s="284"/>
      <c r="E11" s="284"/>
      <c r="F11" s="284"/>
      <c r="G11" s="284"/>
      <c r="H11" s="284"/>
      <c r="I11" s="284"/>
      <c r="J11" s="284"/>
    </row>
    <row r="12" spans="1:10">
      <c r="A12" s="260" t="s">
        <v>341</v>
      </c>
      <c r="B12" s="280"/>
      <c r="C12" s="318"/>
      <c r="D12" s="318"/>
      <c r="E12" s="280"/>
      <c r="F12" s="280"/>
      <c r="G12" s="280"/>
      <c r="H12" s="280"/>
      <c r="I12" s="280"/>
      <c r="J12" s="280"/>
    </row>
    <row r="13" spans="1:10">
      <c r="A13" s="264" t="s">
        <v>30</v>
      </c>
      <c r="B13" s="285">
        <v>15262</v>
      </c>
      <c r="C13" s="285">
        <v>14255</v>
      </c>
      <c r="D13" s="285">
        <v>14439</v>
      </c>
      <c r="E13" s="285">
        <v>13310</v>
      </c>
      <c r="F13" s="285">
        <v>12567</v>
      </c>
      <c r="G13" s="285">
        <v>12875</v>
      </c>
      <c r="H13" s="285">
        <v>14513</v>
      </c>
      <c r="I13" s="285">
        <v>13917</v>
      </c>
      <c r="J13" s="285">
        <v>15465</v>
      </c>
    </row>
    <row r="14" spans="1:10">
      <c r="A14" s="264" t="s">
        <v>254</v>
      </c>
      <c r="B14" s="285">
        <v>13270</v>
      </c>
      <c r="C14" s="285">
        <v>13192</v>
      </c>
      <c r="D14" s="285">
        <v>12709</v>
      </c>
      <c r="E14" s="285">
        <v>12473</v>
      </c>
      <c r="F14" s="285">
        <v>11474</v>
      </c>
      <c r="G14" s="285">
        <v>12260</v>
      </c>
      <c r="H14" s="285">
        <v>11222</v>
      </c>
      <c r="I14" s="285">
        <v>11809</v>
      </c>
      <c r="J14" s="285">
        <v>10805</v>
      </c>
    </row>
    <row r="15" spans="1:10">
      <c r="A15" s="264" t="s">
        <v>245</v>
      </c>
      <c r="B15" s="285">
        <v>469877</v>
      </c>
      <c r="C15" s="285">
        <v>463895</v>
      </c>
      <c r="D15" s="285">
        <v>440315</v>
      </c>
      <c r="E15" s="285">
        <v>414541</v>
      </c>
      <c r="F15" s="285">
        <v>392422</v>
      </c>
      <c r="G15" s="285">
        <v>378554</v>
      </c>
      <c r="H15" s="285">
        <v>359145</v>
      </c>
      <c r="I15" s="285">
        <v>333249</v>
      </c>
      <c r="J15" s="285">
        <v>317882</v>
      </c>
    </row>
    <row r="16" spans="1:10">
      <c r="A16" s="264" t="s">
        <v>32</v>
      </c>
      <c r="B16" s="285">
        <v>37856</v>
      </c>
      <c r="C16" s="285">
        <v>37044</v>
      </c>
      <c r="D16" s="285">
        <v>36113</v>
      </c>
      <c r="E16" s="285">
        <v>34256</v>
      </c>
      <c r="F16" s="285">
        <v>32901</v>
      </c>
      <c r="G16" s="285">
        <v>32122</v>
      </c>
      <c r="H16" s="285">
        <v>32669</v>
      </c>
      <c r="I16" s="285">
        <v>33207</v>
      </c>
      <c r="J16" s="285">
        <v>33412</v>
      </c>
    </row>
    <row r="17" spans="1:15">
      <c r="A17" s="264" t="s">
        <v>342</v>
      </c>
      <c r="B17" s="291">
        <v>-1870</v>
      </c>
      <c r="C17" s="291">
        <v>-1888</v>
      </c>
      <c r="D17" s="291">
        <v>-1998</v>
      </c>
      <c r="E17" s="291">
        <v>-2030</v>
      </c>
      <c r="F17" s="291">
        <v>-2368</v>
      </c>
      <c r="G17" s="291">
        <v>-2475</v>
      </c>
      <c r="H17" s="291">
        <v>-3229</v>
      </c>
      <c r="I17" s="291">
        <v>-3435</v>
      </c>
      <c r="J17" s="291">
        <v>-3559</v>
      </c>
    </row>
    <row r="18" spans="1:15">
      <c r="A18" s="260" t="s">
        <v>343</v>
      </c>
      <c r="B18" s="292">
        <v>534395</v>
      </c>
      <c r="C18" s="292">
        <v>526498</v>
      </c>
      <c r="D18" s="292">
        <v>501578</v>
      </c>
      <c r="E18" s="292">
        <v>472550</v>
      </c>
      <c r="F18" s="292">
        <v>446996</v>
      </c>
      <c r="G18" s="292">
        <v>433336</v>
      </c>
      <c r="H18" s="292">
        <v>414320</v>
      </c>
      <c r="I18" s="292">
        <v>388747</v>
      </c>
      <c r="J18" s="292">
        <v>374005</v>
      </c>
      <c r="L18" s="272"/>
      <c r="M18" s="272"/>
      <c r="N18" s="272"/>
      <c r="O18" s="272"/>
    </row>
    <row r="19" spans="1:15">
      <c r="A19" s="260"/>
      <c r="B19" s="285"/>
      <c r="C19" s="285"/>
      <c r="D19" s="285"/>
      <c r="E19" s="285"/>
      <c r="F19" s="285"/>
      <c r="G19" s="285"/>
      <c r="H19" s="285"/>
      <c r="I19" s="285"/>
      <c r="J19" s="285"/>
      <c r="L19" s="272"/>
      <c r="M19" s="272"/>
      <c r="N19" s="272"/>
      <c r="O19" s="272"/>
    </row>
    <row r="20" spans="1:15">
      <c r="A20" s="260" t="s">
        <v>350</v>
      </c>
      <c r="B20" s="280"/>
      <c r="C20" s="280"/>
      <c r="D20" s="280"/>
      <c r="E20" s="280"/>
      <c r="F20" s="280"/>
      <c r="G20" s="280"/>
      <c r="H20" s="280"/>
      <c r="I20" s="280"/>
      <c r="J20" s="280"/>
    </row>
    <row r="21" spans="1:15">
      <c r="A21" s="262" t="s">
        <v>30</v>
      </c>
      <c r="B21" s="285">
        <v>20371</v>
      </c>
      <c r="C21" s="285">
        <v>18301</v>
      </c>
      <c r="D21" s="285">
        <v>15146</v>
      </c>
      <c r="E21" s="285">
        <v>13478</v>
      </c>
      <c r="F21" s="285">
        <v>14034</v>
      </c>
      <c r="G21" s="285">
        <v>15471</v>
      </c>
      <c r="H21" s="285">
        <v>15819</v>
      </c>
      <c r="I21" s="285">
        <v>15915</v>
      </c>
      <c r="J21" s="285">
        <v>17611</v>
      </c>
    </row>
    <row r="22" spans="1:15">
      <c r="A22" s="262" t="s">
        <v>254</v>
      </c>
      <c r="B22" s="285">
        <v>1526</v>
      </c>
      <c r="C22" s="285">
        <v>1449</v>
      </c>
      <c r="D22" s="285">
        <v>1214</v>
      </c>
      <c r="E22" s="285">
        <v>1323</v>
      </c>
      <c r="F22" s="285">
        <v>1595</v>
      </c>
      <c r="G22" s="285">
        <v>1086</v>
      </c>
      <c r="H22" s="285">
        <v>1097</v>
      </c>
      <c r="I22" s="285">
        <v>1102</v>
      </c>
      <c r="J22" s="285">
        <v>1065</v>
      </c>
    </row>
    <row r="23" spans="1:15">
      <c r="A23" s="262" t="s">
        <v>245</v>
      </c>
      <c r="B23" s="285">
        <v>46508</v>
      </c>
      <c r="C23" s="285">
        <v>41588</v>
      </c>
      <c r="D23" s="285">
        <v>43902</v>
      </c>
      <c r="E23" s="285">
        <v>39462</v>
      </c>
      <c r="F23" s="285">
        <v>32448</v>
      </c>
      <c r="G23" s="285">
        <v>32175</v>
      </c>
      <c r="H23" s="285">
        <v>29066</v>
      </c>
      <c r="I23" s="285">
        <v>23941</v>
      </c>
      <c r="J23" s="285">
        <v>23178</v>
      </c>
    </row>
    <row r="24" spans="1:15">
      <c r="A24" s="262" t="s">
        <v>32</v>
      </c>
      <c r="B24" s="285">
        <v>379685</v>
      </c>
      <c r="C24" s="285">
        <v>354113</v>
      </c>
      <c r="D24" s="285">
        <v>342066</v>
      </c>
      <c r="E24" s="285">
        <v>324573</v>
      </c>
      <c r="F24" s="285">
        <v>351201</v>
      </c>
      <c r="G24" s="285">
        <v>350455</v>
      </c>
      <c r="H24" s="285">
        <v>358058</v>
      </c>
      <c r="I24" s="285">
        <v>359459</v>
      </c>
      <c r="J24" s="285">
        <v>371639</v>
      </c>
    </row>
    <row r="25" spans="1:15">
      <c r="A25" s="262" t="s">
        <v>342</v>
      </c>
      <c r="B25" s="291">
        <v>-6102</v>
      </c>
      <c r="C25" s="291">
        <v>-5712</v>
      </c>
      <c r="D25" s="291">
        <v>-6966</v>
      </c>
      <c r="E25" s="291">
        <v>-7398</v>
      </c>
      <c r="F25" s="291">
        <v>-9112</v>
      </c>
      <c r="G25" s="291">
        <v>-9582</v>
      </c>
      <c r="H25" s="291">
        <v>-10494</v>
      </c>
      <c r="I25" s="291">
        <v>-9262</v>
      </c>
      <c r="J25" s="291">
        <v>-8675</v>
      </c>
    </row>
    <row r="26" spans="1:15">
      <c r="A26" s="260" t="s">
        <v>351</v>
      </c>
      <c r="B26" s="292">
        <v>441988</v>
      </c>
      <c r="C26" s="292">
        <v>409739</v>
      </c>
      <c r="D26" s="292">
        <v>395362</v>
      </c>
      <c r="E26" s="292">
        <v>371438</v>
      </c>
      <c r="F26" s="292">
        <v>390166</v>
      </c>
      <c r="G26" s="292">
        <v>389605</v>
      </c>
      <c r="H26" s="292">
        <v>393546</v>
      </c>
      <c r="I26" s="292">
        <v>391155</v>
      </c>
      <c r="J26" s="292">
        <v>404818</v>
      </c>
    </row>
    <row r="27" spans="1:15" ht="14.25" customHeight="1">
      <c r="B27" s="285"/>
      <c r="C27" s="264"/>
      <c r="D27" s="264"/>
      <c r="E27" s="264"/>
      <c r="F27" s="264"/>
      <c r="G27" s="264"/>
      <c r="H27" s="264"/>
      <c r="I27" s="264"/>
      <c r="J27" s="264"/>
    </row>
    <row r="28" spans="1:15">
      <c r="A28" s="260" t="s">
        <v>352</v>
      </c>
      <c r="B28" s="264"/>
      <c r="C28" s="264"/>
      <c r="D28" s="264"/>
      <c r="E28" s="264"/>
      <c r="F28" s="264"/>
      <c r="G28" s="264"/>
      <c r="H28" s="264"/>
      <c r="I28" s="264"/>
      <c r="J28" s="264"/>
    </row>
    <row r="29" spans="1:15">
      <c r="A29" s="262" t="s">
        <v>371</v>
      </c>
      <c r="B29" s="284">
        <v>2.5437342190285709E-2</v>
      </c>
      <c r="C29" s="284">
        <v>2.4928063962668917E-2</v>
      </c>
      <c r="D29" s="284">
        <v>2.3808560256170296E-2</v>
      </c>
      <c r="E29" s="284">
        <v>2.3909777674874406E-2</v>
      </c>
      <c r="F29" s="284">
        <v>2.1854800264502802E-2</v>
      </c>
      <c r="G29" s="284">
        <v>2.0746653662042324E-2</v>
      </c>
      <c r="H29" s="284">
        <v>2.0627830037657606E-2</v>
      </c>
      <c r="I29" s="284">
        <v>1.9524229525379966E-2</v>
      </c>
      <c r="J29" s="284">
        <v>1.8946785963074763E-2</v>
      </c>
    </row>
    <row r="30" spans="1:15">
      <c r="A30" s="262" t="s">
        <v>173</v>
      </c>
      <c r="B30" s="284">
        <v>4.341520584269256E-2</v>
      </c>
      <c r="C30" s="284">
        <v>4.2146341939624979E-2</v>
      </c>
      <c r="D30" s="284">
        <v>3.4502557150156057E-2</v>
      </c>
      <c r="E30" s="284">
        <v>3.7712888826668248E-2</v>
      </c>
      <c r="F30" s="284">
        <v>3.2827053100475186E-2</v>
      </c>
      <c r="G30" s="284">
        <v>3.3816301125498903E-2</v>
      </c>
      <c r="H30" s="284">
        <v>3.2280851539591308E-2</v>
      </c>
      <c r="I30" s="284">
        <v>4.2596924492848104E-2</v>
      </c>
      <c r="J30" s="284">
        <v>4.2097930427994805E-2</v>
      </c>
    </row>
    <row r="31" spans="1:15">
      <c r="A31" s="262" t="s">
        <v>344</v>
      </c>
      <c r="B31" s="284">
        <v>0.10601192792564504</v>
      </c>
      <c r="C31" s="284">
        <v>0.11177359245763767</v>
      </c>
      <c r="D31" s="284">
        <v>0.11551438934444888</v>
      </c>
      <c r="E31" s="284">
        <v>9.6096791389141664E-2</v>
      </c>
      <c r="F31" s="284">
        <v>9.1074055658360797E-2</v>
      </c>
      <c r="G31" s="284">
        <v>9.1757035972330953E-2</v>
      </c>
      <c r="H31" s="284">
        <v>8.1398362580232045E-2</v>
      </c>
      <c r="I31" s="284">
        <v>9.0531886336618475E-2</v>
      </c>
      <c r="J31" s="284">
        <v>9.1707878602236073E-2</v>
      </c>
    </row>
    <row r="32" spans="1:15">
      <c r="A32" s="262" t="s">
        <v>345</v>
      </c>
      <c r="B32" s="284">
        <v>7.9312108021032252E-2</v>
      </c>
      <c r="C32" s="284">
        <v>6.8138497921847813E-2</v>
      </c>
      <c r="D32" s="284">
        <v>7.225530020588726E-2</v>
      </c>
      <c r="E32" s="284">
        <v>7.5660002476860208E-2</v>
      </c>
      <c r="F32" s="284">
        <v>7.455544563083405E-2</v>
      </c>
      <c r="G32" s="284">
        <v>8.0063140873448749E-2</v>
      </c>
      <c r="H32" s="284">
        <v>7.6682268400644391E-2</v>
      </c>
      <c r="I32" s="284">
        <v>7.8306553667983281E-2</v>
      </c>
      <c r="J32" s="284">
        <v>7.8217865806362363E-2</v>
      </c>
    </row>
    <row r="33" spans="1:10">
      <c r="A33" s="262" t="s">
        <v>346</v>
      </c>
      <c r="B33" s="284">
        <v>5.3415477343276285E-2</v>
      </c>
      <c r="C33" s="284">
        <v>4.0845513851500592E-2</v>
      </c>
      <c r="D33" s="284">
        <v>2.3449395743647593E-2</v>
      </c>
      <c r="E33" s="284">
        <v>3.5483714644166726E-2</v>
      </c>
      <c r="F33" s="284">
        <v>5.9279896249288762E-2</v>
      </c>
      <c r="G33" s="284">
        <v>5.3413072214165629E-2</v>
      </c>
      <c r="H33" s="284">
        <v>5.0111041657137922E-2</v>
      </c>
      <c r="I33" s="284">
        <v>4.8681468982884023E-2</v>
      </c>
      <c r="J33" s="284">
        <v>4.5983627210252509E-2</v>
      </c>
    </row>
    <row r="34" spans="1:10">
      <c r="A34" s="262" t="s">
        <v>347</v>
      </c>
      <c r="B34" s="284">
        <v>1.6303610052761614E-2</v>
      </c>
      <c r="C34" s="284">
        <v>1.6883918787325591E-2</v>
      </c>
      <c r="D34" s="284">
        <v>1.4207232865070493E-2</v>
      </c>
      <c r="E34" s="284">
        <v>1.545614611321405E-2</v>
      </c>
      <c r="F34" s="284">
        <v>1.6887683703859385E-2</v>
      </c>
      <c r="G34" s="284">
        <v>1.7417640944033058E-2</v>
      </c>
      <c r="H34" s="284">
        <v>2.046266510141127E-2</v>
      </c>
      <c r="I34" s="284">
        <v>1.65484270941187E-2</v>
      </c>
      <c r="J34" s="284">
        <v>1.6261628682519059E-2</v>
      </c>
    </row>
    <row r="35" spans="1:10">
      <c r="A35" s="262" t="s">
        <v>348</v>
      </c>
      <c r="B35" s="284">
        <v>0.3099812664597229</v>
      </c>
      <c r="C35" s="284">
        <v>0.31076124069224553</v>
      </c>
      <c r="D35" s="284">
        <v>0.34291611232237795</v>
      </c>
      <c r="E35" s="284">
        <v>0.33817218485992279</v>
      </c>
      <c r="F35" s="284">
        <v>0.32862678962287845</v>
      </c>
      <c r="G35" s="284">
        <v>0.32825040746396994</v>
      </c>
      <c r="H35" s="284">
        <v>0.3307262683396604</v>
      </c>
      <c r="I35" s="284">
        <v>0.33022203474326034</v>
      </c>
      <c r="J35" s="284">
        <v>0.31574682943940241</v>
      </c>
    </row>
    <row r="36" spans="1:10">
      <c r="A36" s="262" t="s">
        <v>171</v>
      </c>
      <c r="B36" s="284">
        <v>0.17557263998117595</v>
      </c>
      <c r="C36" s="284">
        <v>0.19059450040147508</v>
      </c>
      <c r="D36" s="284">
        <v>0.20797648737106753</v>
      </c>
      <c r="E36" s="284">
        <v>0.20038606712291149</v>
      </c>
      <c r="F36" s="284">
        <v>0.20838053546439209</v>
      </c>
      <c r="G36" s="284">
        <v>0.20939669665430372</v>
      </c>
      <c r="H36" s="284">
        <v>0.22076961778292753</v>
      </c>
      <c r="I36" s="284">
        <v>0.19509657296979457</v>
      </c>
      <c r="J36" s="284">
        <v>0.21285367745505387</v>
      </c>
    </row>
    <row r="37" spans="1:10">
      <c r="A37" s="262" t="s">
        <v>172</v>
      </c>
      <c r="B37" s="284">
        <v>3.0417115396798103E-2</v>
      </c>
      <c r="C37" s="284">
        <v>3.4563466011290116E-2</v>
      </c>
      <c r="D37" s="284">
        <v>3.6305967695428494E-2</v>
      </c>
      <c r="E37" s="284">
        <v>3.1870729435329717E-2</v>
      </c>
      <c r="F37" s="284">
        <v>3.0794584869004476E-2</v>
      </c>
      <c r="G37" s="284">
        <v>3.2699785680368576E-2</v>
      </c>
      <c r="H37" s="284">
        <v>3.4260289775528148E-2</v>
      </c>
      <c r="I37" s="284">
        <v>3.227620764147205E-2</v>
      </c>
      <c r="J37" s="284">
        <v>2.995420164123137E-2</v>
      </c>
    </row>
    <row r="38" spans="1:10">
      <c r="A38" s="262" t="s">
        <v>349</v>
      </c>
      <c r="B38" s="284">
        <v>0.16013330678660959</v>
      </c>
      <c r="C38" s="284">
        <v>0.15936486397438368</v>
      </c>
      <c r="D38" s="284">
        <v>0.12906399704574542</v>
      </c>
      <c r="E38" s="284">
        <v>0.14525169745691072</v>
      </c>
      <c r="F38" s="284">
        <v>0.135719155436404</v>
      </c>
      <c r="G38" s="284">
        <v>0.13243926540983816</v>
      </c>
      <c r="H38" s="284">
        <v>0.13268080478520936</v>
      </c>
      <c r="I38" s="284">
        <v>0.14621569454564048</v>
      </c>
      <c r="J38" s="284">
        <v>0.14822957477187279</v>
      </c>
    </row>
    <row r="39" spans="1:10">
      <c r="B39" s="295">
        <v>1</v>
      </c>
      <c r="C39" s="295">
        <v>1</v>
      </c>
      <c r="D39" s="295">
        <v>1</v>
      </c>
      <c r="E39" s="295">
        <v>1.0000000000000002</v>
      </c>
      <c r="F39" s="295">
        <v>0.99999999999999989</v>
      </c>
      <c r="G39" s="295">
        <v>1</v>
      </c>
      <c r="H39" s="295">
        <v>1</v>
      </c>
      <c r="I39" s="295">
        <v>1</v>
      </c>
      <c r="J39" s="295">
        <v>1</v>
      </c>
    </row>
    <row r="40" spans="1:10">
      <c r="A40" s="270" t="s">
        <v>401</v>
      </c>
      <c r="B40" s="285"/>
      <c r="C40" s="287"/>
      <c r="D40" s="287"/>
      <c r="E40" s="287"/>
      <c r="F40" s="287"/>
      <c r="G40" s="287"/>
      <c r="H40" s="287"/>
      <c r="I40" s="287"/>
      <c r="J40" s="287"/>
    </row>
  </sheetData>
  <mergeCells count="1">
    <mergeCell ref="A2:J2"/>
  </mergeCells>
  <pageMargins left="0.70866141732283472" right="0.70866141732283472" top="0.74803149606299213" bottom="0.74803149606299213" header="0.31496062992125984" footer="0.31496062992125984"/>
  <pageSetup paperSize="9" scale="76" firstPageNumber="15" fitToHeight="2" orientation="landscape" useFirstPageNumber="1" r:id="rId1"/>
  <headerFooter>
    <oddFooter>&amp;L&amp;"-,Italic"&amp;8______________________________________________________
Arion Bank Factbook 31.03.2022&amp;C&amp;8&amp;P&amp;R&amp;"-,Italic"&amp;8______________________________________________________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C"/>
  </sheetPr>
  <dimension ref="A1:R65"/>
  <sheetViews>
    <sheetView zoomScaleNormal="100" zoomScaleSheetLayoutView="85" workbookViewId="0"/>
  </sheetViews>
  <sheetFormatPr defaultColWidth="9.140625" defaultRowHeight="14.25"/>
  <cols>
    <col min="1" max="1" width="52" style="268" customWidth="1"/>
    <col min="2" max="10" width="9.85546875" style="268" customWidth="1"/>
    <col min="11" max="11" width="40.28515625" style="268" customWidth="1"/>
    <col min="12" max="16384" width="9.140625" style="268"/>
  </cols>
  <sheetData>
    <row r="1" spans="1:18" ht="27.75" customHeight="1">
      <c r="A1" s="254" t="s">
        <v>358</v>
      </c>
      <c r="B1" s="283">
        <v>0</v>
      </c>
      <c r="C1" s="283">
        <v>1</v>
      </c>
      <c r="D1" s="283">
        <v>2</v>
      </c>
      <c r="E1" s="283">
        <v>3</v>
      </c>
      <c r="F1" s="283">
        <v>4</v>
      </c>
      <c r="G1" s="283">
        <v>5</v>
      </c>
      <c r="H1" s="283">
        <v>6</v>
      </c>
      <c r="I1" s="283">
        <v>7</v>
      </c>
      <c r="J1" s="283">
        <v>8</v>
      </c>
    </row>
    <row r="2" spans="1:18">
      <c r="A2" s="256" t="s">
        <v>315</v>
      </c>
      <c r="B2" s="314">
        <v>44651</v>
      </c>
      <c r="C2" s="314">
        <v>44561</v>
      </c>
      <c r="D2" s="314">
        <v>44469</v>
      </c>
      <c r="E2" s="314">
        <v>44377</v>
      </c>
      <c r="F2" s="314">
        <v>44286</v>
      </c>
      <c r="G2" s="314">
        <v>44196</v>
      </c>
      <c r="H2" s="314">
        <v>44104</v>
      </c>
      <c r="I2" s="314">
        <v>44012</v>
      </c>
      <c r="J2" s="314">
        <v>43921</v>
      </c>
    </row>
    <row r="3" spans="1:18">
      <c r="A3" s="258"/>
      <c r="B3" s="259"/>
      <c r="C3" s="259"/>
      <c r="D3" s="259"/>
      <c r="E3" s="259"/>
      <c r="F3" s="259"/>
      <c r="G3" s="259"/>
      <c r="H3" s="259"/>
      <c r="I3" s="259"/>
      <c r="J3" s="259"/>
    </row>
    <row r="4" spans="1:18">
      <c r="A4" s="260" t="s">
        <v>384</v>
      </c>
      <c r="B4" s="259"/>
      <c r="C4" s="259"/>
      <c r="D4" s="259"/>
      <c r="E4" s="259"/>
      <c r="F4" s="259"/>
      <c r="G4" s="259"/>
      <c r="H4" s="259"/>
      <c r="I4" s="259"/>
      <c r="J4" s="259"/>
      <c r="K4" s="260"/>
    </row>
    <row r="5" spans="1:18">
      <c r="A5" s="276" t="s">
        <v>51</v>
      </c>
      <c r="B5" s="286">
        <v>173013</v>
      </c>
      <c r="C5" s="286">
        <v>194598</v>
      </c>
      <c r="D5" s="286">
        <v>194580</v>
      </c>
      <c r="E5" s="286">
        <v>193605</v>
      </c>
      <c r="F5" s="286">
        <v>189419</v>
      </c>
      <c r="G5" s="286">
        <v>197845</v>
      </c>
      <c r="H5" s="286">
        <v>192496</v>
      </c>
      <c r="I5" s="286">
        <v>188827</v>
      </c>
      <c r="J5" s="286">
        <v>183879</v>
      </c>
      <c r="K5" s="276"/>
    </row>
    <row r="6" spans="1:18">
      <c r="A6" s="262" t="s">
        <v>398</v>
      </c>
      <c r="B6" s="296">
        <v>0</v>
      </c>
      <c r="C6" s="296">
        <v>0</v>
      </c>
      <c r="D6" s="296">
        <v>0</v>
      </c>
      <c r="E6" s="296">
        <v>0</v>
      </c>
      <c r="F6" s="296">
        <v>0</v>
      </c>
      <c r="G6" s="296">
        <v>0</v>
      </c>
      <c r="H6" s="296">
        <v>-11410</v>
      </c>
      <c r="I6" s="296">
        <v>-10823</v>
      </c>
      <c r="J6" s="296">
        <v>-10088</v>
      </c>
      <c r="K6" s="276"/>
    </row>
    <row r="7" spans="1:18">
      <c r="A7" s="262" t="s">
        <v>436</v>
      </c>
      <c r="B7" s="296">
        <v>-5812</v>
      </c>
      <c r="C7" s="296">
        <v>0</v>
      </c>
      <c r="D7" s="296">
        <v>-8228</v>
      </c>
      <c r="E7" s="296">
        <v>-7810</v>
      </c>
      <c r="F7" s="296">
        <v>-6038</v>
      </c>
      <c r="G7" s="296">
        <v>0</v>
      </c>
      <c r="H7" s="296">
        <v>-3966</v>
      </c>
      <c r="I7" s="296">
        <v>0</v>
      </c>
      <c r="J7" s="296">
        <v>2171</v>
      </c>
      <c r="K7" s="276"/>
    </row>
    <row r="8" spans="1:18">
      <c r="A8" s="262" t="s">
        <v>390</v>
      </c>
      <c r="B8" s="305">
        <v>-680</v>
      </c>
      <c r="C8" s="305">
        <v>-673</v>
      </c>
      <c r="D8" s="305">
        <v>-680</v>
      </c>
      <c r="E8" s="305">
        <v>-180</v>
      </c>
      <c r="F8" s="305">
        <v>-174</v>
      </c>
      <c r="G8" s="305">
        <v>-173</v>
      </c>
      <c r="H8" s="305">
        <v>-172</v>
      </c>
      <c r="I8" s="305">
        <v>-171</v>
      </c>
      <c r="J8" s="305">
        <v>-177</v>
      </c>
      <c r="K8" s="262"/>
    </row>
    <row r="9" spans="1:18">
      <c r="A9" s="260" t="s">
        <v>396</v>
      </c>
      <c r="B9" s="296">
        <v>166521</v>
      </c>
      <c r="C9" s="296">
        <v>193925</v>
      </c>
      <c r="D9" s="296">
        <v>185672</v>
      </c>
      <c r="E9" s="296">
        <v>185615</v>
      </c>
      <c r="F9" s="296">
        <v>183207</v>
      </c>
      <c r="G9" s="296">
        <v>197672</v>
      </c>
      <c r="H9" s="296">
        <v>180914</v>
      </c>
      <c r="I9" s="296">
        <v>177833</v>
      </c>
      <c r="J9" s="296">
        <v>173614</v>
      </c>
      <c r="K9" s="262"/>
    </row>
    <row r="10" spans="1:18">
      <c r="A10" s="262" t="s">
        <v>17</v>
      </c>
      <c r="B10" s="296">
        <v>-8490</v>
      </c>
      <c r="C10" s="296">
        <v>-8435</v>
      </c>
      <c r="D10" s="296">
        <v>-9654</v>
      </c>
      <c r="E10" s="296">
        <v>-9532</v>
      </c>
      <c r="F10" s="296">
        <v>-13915</v>
      </c>
      <c r="G10" s="296">
        <v>-13092</v>
      </c>
      <c r="H10" s="296">
        <v>-11671</v>
      </c>
      <c r="I10" s="296">
        <v>-11371</v>
      </c>
      <c r="J10" s="296">
        <v>-11160</v>
      </c>
      <c r="K10" s="262"/>
    </row>
    <row r="11" spans="1:18">
      <c r="A11" s="262" t="s">
        <v>106</v>
      </c>
      <c r="B11" s="296">
        <v>0</v>
      </c>
      <c r="C11" s="296">
        <v>0</v>
      </c>
      <c r="D11" s="296">
        <v>0</v>
      </c>
      <c r="E11" s="296">
        <v>0</v>
      </c>
      <c r="F11" s="296">
        <v>0</v>
      </c>
      <c r="G11" s="296">
        <v>0</v>
      </c>
      <c r="H11" s="296">
        <v>-310</v>
      </c>
      <c r="I11" s="296">
        <v>-310</v>
      </c>
      <c r="J11" s="296">
        <v>-332</v>
      </c>
      <c r="K11" s="262"/>
    </row>
    <row r="12" spans="1:18">
      <c r="A12" s="262" t="s">
        <v>397</v>
      </c>
      <c r="B12" s="296">
        <v>0</v>
      </c>
      <c r="C12" s="296">
        <v>-26773</v>
      </c>
      <c r="D12" s="296">
        <v>-17176</v>
      </c>
      <c r="E12" s="296">
        <v>-14924</v>
      </c>
      <c r="F12" s="296">
        <v>-3056</v>
      </c>
      <c r="G12" s="296">
        <v>-17990</v>
      </c>
      <c r="H12" s="296">
        <v>-3358</v>
      </c>
      <c r="I12" s="296">
        <v>0</v>
      </c>
      <c r="J12" s="296">
        <v>0</v>
      </c>
      <c r="K12" s="262"/>
    </row>
    <row r="13" spans="1:18">
      <c r="A13" s="262" t="s">
        <v>434</v>
      </c>
      <c r="B13" s="296">
        <v>1199</v>
      </c>
      <c r="C13" s="296">
        <v>920</v>
      </c>
      <c r="D13" s="296">
        <v>1379</v>
      </c>
      <c r="E13" s="296">
        <v>1936</v>
      </c>
      <c r="F13" s="296">
        <v>1238</v>
      </c>
      <c r="G13" s="296">
        <v>1890</v>
      </c>
      <c r="H13" s="296">
        <v>1977</v>
      </c>
      <c r="I13" s="296">
        <v>1550</v>
      </c>
      <c r="J13" s="296">
        <v>0</v>
      </c>
      <c r="K13" s="262"/>
    </row>
    <row r="14" spans="1:18">
      <c r="A14" s="262" t="s">
        <v>356</v>
      </c>
      <c r="B14" s="305">
        <v>4417</v>
      </c>
      <c r="C14" s="305">
        <v>-437</v>
      </c>
      <c r="D14" s="305">
        <v>-1601</v>
      </c>
      <c r="E14" s="305">
        <v>-1702</v>
      </c>
      <c r="F14" s="305">
        <v>-1561</v>
      </c>
      <c r="G14" s="305">
        <v>-2520</v>
      </c>
      <c r="H14" s="305">
        <v>-3709</v>
      </c>
      <c r="I14" s="305">
        <v>-3314</v>
      </c>
      <c r="J14" s="305">
        <v>-1995</v>
      </c>
      <c r="K14" s="324"/>
      <c r="L14" s="324"/>
      <c r="M14" s="324"/>
      <c r="N14" s="324"/>
      <c r="O14" s="324"/>
      <c r="P14" s="324"/>
      <c r="Q14" s="324"/>
      <c r="R14" s="324"/>
    </row>
    <row r="15" spans="1:18">
      <c r="A15" s="260" t="s">
        <v>381</v>
      </c>
      <c r="B15" s="305">
        <v>163647</v>
      </c>
      <c r="C15" s="305">
        <v>159200</v>
      </c>
      <c r="D15" s="305">
        <v>158620</v>
      </c>
      <c r="E15" s="305">
        <v>161393</v>
      </c>
      <c r="F15" s="305">
        <v>165913</v>
      </c>
      <c r="G15" s="305">
        <v>165960</v>
      </c>
      <c r="H15" s="305">
        <v>163843</v>
      </c>
      <c r="I15" s="305">
        <v>164388</v>
      </c>
      <c r="J15" s="305">
        <v>160127</v>
      </c>
      <c r="K15" s="329"/>
    </row>
    <row r="16" spans="1:18">
      <c r="A16" s="262" t="s">
        <v>390</v>
      </c>
      <c r="B16" s="326">
        <v>680</v>
      </c>
      <c r="C16" s="326">
        <v>673</v>
      </c>
      <c r="D16" s="326">
        <v>680</v>
      </c>
      <c r="E16" s="326">
        <v>180</v>
      </c>
      <c r="F16" s="326">
        <v>174</v>
      </c>
      <c r="G16" s="326">
        <v>173</v>
      </c>
      <c r="H16" s="326">
        <v>172</v>
      </c>
      <c r="I16" s="326">
        <v>171</v>
      </c>
      <c r="J16" s="326">
        <v>177</v>
      </c>
      <c r="K16" s="262"/>
    </row>
    <row r="17" spans="1:11">
      <c r="A17" s="262" t="s">
        <v>409</v>
      </c>
      <c r="B17" s="305">
        <v>12315</v>
      </c>
      <c r="C17" s="305">
        <v>13225</v>
      </c>
      <c r="D17" s="305">
        <v>13302</v>
      </c>
      <c r="E17" s="305">
        <v>12847</v>
      </c>
      <c r="F17" s="305">
        <v>12891</v>
      </c>
      <c r="G17" s="305">
        <v>13498</v>
      </c>
      <c r="H17" s="305">
        <v>14480</v>
      </c>
      <c r="I17" s="305">
        <v>14705</v>
      </c>
      <c r="J17" s="305">
        <v>14783</v>
      </c>
      <c r="K17" s="262"/>
    </row>
    <row r="18" spans="1:11">
      <c r="A18" s="260" t="s">
        <v>124</v>
      </c>
      <c r="B18" s="305">
        <v>176642</v>
      </c>
      <c r="C18" s="305">
        <v>173098</v>
      </c>
      <c r="D18" s="305">
        <v>172602</v>
      </c>
      <c r="E18" s="305">
        <v>174420</v>
      </c>
      <c r="F18" s="305">
        <v>178978</v>
      </c>
      <c r="G18" s="305">
        <v>179631</v>
      </c>
      <c r="H18" s="305">
        <v>178495</v>
      </c>
      <c r="I18" s="305">
        <v>179264</v>
      </c>
      <c r="J18" s="305">
        <v>175087</v>
      </c>
      <c r="K18" s="260"/>
    </row>
    <row r="19" spans="1:11">
      <c r="A19" s="262" t="s">
        <v>442</v>
      </c>
      <c r="B19" s="326">
        <v>21359</v>
      </c>
      <c r="C19" s="326">
        <v>21863</v>
      </c>
      <c r="D19" s="326">
        <v>22175</v>
      </c>
      <c r="E19" s="326">
        <v>21696</v>
      </c>
      <c r="F19" s="326">
        <v>21741</v>
      </c>
      <c r="G19" s="326">
        <v>22562</v>
      </c>
      <c r="H19" s="326">
        <v>22387</v>
      </c>
      <c r="I19" s="326">
        <v>21789</v>
      </c>
      <c r="J19" s="326">
        <v>21054</v>
      </c>
      <c r="K19" s="262"/>
    </row>
    <row r="20" spans="1:11">
      <c r="A20" s="262" t="s">
        <v>443</v>
      </c>
      <c r="B20" s="305">
        <v>-1089</v>
      </c>
      <c r="C20" s="305">
        <v>-1056</v>
      </c>
      <c r="D20" s="305">
        <v>-1051</v>
      </c>
      <c r="E20" s="305">
        <v>-1032</v>
      </c>
      <c r="F20" s="305">
        <v>-1026</v>
      </c>
      <c r="G20" s="305">
        <v>-1007</v>
      </c>
      <c r="H20" s="305">
        <v>0</v>
      </c>
      <c r="I20" s="305">
        <v>0</v>
      </c>
      <c r="J20" s="305">
        <v>0</v>
      </c>
      <c r="K20" s="262"/>
    </row>
    <row r="21" spans="1:11" s="274" customFormat="1" ht="15">
      <c r="A21" s="260" t="s">
        <v>383</v>
      </c>
      <c r="B21" s="296">
        <v>20270</v>
      </c>
      <c r="C21" s="296">
        <v>20807</v>
      </c>
      <c r="D21" s="296">
        <v>21124</v>
      </c>
      <c r="E21" s="296">
        <v>20664</v>
      </c>
      <c r="F21" s="296">
        <v>20715</v>
      </c>
      <c r="G21" s="296">
        <v>21555</v>
      </c>
      <c r="H21" s="296">
        <v>22387</v>
      </c>
      <c r="I21" s="296">
        <v>21789</v>
      </c>
      <c r="J21" s="296">
        <v>21054</v>
      </c>
      <c r="K21" s="260"/>
    </row>
    <row r="22" spans="1:11" ht="15" thickBot="1">
      <c r="A22" s="260" t="s">
        <v>441</v>
      </c>
      <c r="B22" s="306">
        <v>196912</v>
      </c>
      <c r="C22" s="306">
        <v>193905</v>
      </c>
      <c r="D22" s="306">
        <v>193726</v>
      </c>
      <c r="E22" s="306">
        <v>195084</v>
      </c>
      <c r="F22" s="306">
        <v>199693</v>
      </c>
      <c r="G22" s="306">
        <v>201186</v>
      </c>
      <c r="H22" s="306">
        <v>200882</v>
      </c>
      <c r="I22" s="306">
        <v>201053</v>
      </c>
      <c r="J22" s="306">
        <v>196141</v>
      </c>
      <c r="K22" s="330"/>
    </row>
    <row r="23" spans="1:11" ht="15" thickTop="1">
      <c r="A23" s="264"/>
      <c r="B23" s="284"/>
      <c r="C23" s="284"/>
      <c r="D23" s="284"/>
      <c r="E23" s="284"/>
      <c r="F23" s="284"/>
      <c r="G23" s="284"/>
      <c r="H23" s="284"/>
      <c r="I23" s="284"/>
      <c r="J23" s="284"/>
      <c r="K23" s="264"/>
    </row>
    <row r="24" spans="1:11">
      <c r="A24" s="260" t="s">
        <v>411</v>
      </c>
      <c r="B24" s="290"/>
      <c r="C24" s="290"/>
      <c r="D24" s="290"/>
      <c r="E24" s="290"/>
      <c r="F24" s="290"/>
      <c r="G24" s="290"/>
      <c r="H24" s="290"/>
      <c r="I24" s="290"/>
      <c r="J24" s="290"/>
      <c r="K24" s="260"/>
    </row>
    <row r="25" spans="1:11">
      <c r="A25" s="262" t="s">
        <v>386</v>
      </c>
      <c r="B25" s="286">
        <v>664568</v>
      </c>
      <c r="C25" s="286">
        <v>623395</v>
      </c>
      <c r="D25" s="286">
        <v>593552</v>
      </c>
      <c r="E25" s="286">
        <v>567958</v>
      </c>
      <c r="F25" s="286">
        <v>577130</v>
      </c>
      <c r="G25" s="286">
        <v>570554</v>
      </c>
      <c r="H25" s="286">
        <v>568345</v>
      </c>
      <c r="I25" s="286">
        <v>557208</v>
      </c>
      <c r="J25" s="286">
        <v>557415</v>
      </c>
      <c r="K25" s="262"/>
    </row>
    <row r="26" spans="1:11">
      <c r="A26" s="15" t="s">
        <v>388</v>
      </c>
      <c r="B26" s="286">
        <v>72948</v>
      </c>
      <c r="C26" s="286">
        <v>69553</v>
      </c>
      <c r="D26" s="286">
        <v>71200</v>
      </c>
      <c r="E26" s="296">
        <v>62566</v>
      </c>
      <c r="F26" s="296">
        <v>61812</v>
      </c>
      <c r="G26" s="296">
        <v>60813</v>
      </c>
      <c r="H26" s="296">
        <v>52564</v>
      </c>
      <c r="I26" s="296">
        <v>51286</v>
      </c>
      <c r="J26" s="296">
        <v>48412</v>
      </c>
      <c r="K26" s="15"/>
    </row>
    <row r="27" spans="1:11">
      <c r="A27" s="264" t="s">
        <v>392</v>
      </c>
      <c r="B27" s="296">
        <v>7505</v>
      </c>
      <c r="C27" s="296">
        <v>7761</v>
      </c>
      <c r="D27" s="296">
        <v>7832</v>
      </c>
      <c r="E27" s="296">
        <v>7879</v>
      </c>
      <c r="F27" s="296">
        <v>4831</v>
      </c>
      <c r="G27" s="296">
        <v>3462</v>
      </c>
      <c r="H27" s="296">
        <v>4791</v>
      </c>
      <c r="I27" s="296">
        <v>4169</v>
      </c>
      <c r="J27" s="296">
        <v>5242</v>
      </c>
      <c r="K27" s="264"/>
    </row>
    <row r="28" spans="1:11">
      <c r="A28" s="262" t="s">
        <v>393</v>
      </c>
      <c r="B28" s="286">
        <v>8476</v>
      </c>
      <c r="C28" s="286">
        <v>4691</v>
      </c>
      <c r="D28" s="286">
        <v>5748</v>
      </c>
      <c r="E28" s="286">
        <v>1056</v>
      </c>
      <c r="F28" s="286">
        <v>6297</v>
      </c>
      <c r="G28" s="286">
        <v>8569</v>
      </c>
      <c r="H28" s="286">
        <v>2552</v>
      </c>
      <c r="I28" s="286">
        <v>3119</v>
      </c>
      <c r="J28" s="286">
        <v>2676</v>
      </c>
      <c r="K28" s="262"/>
    </row>
    <row r="29" spans="1:11">
      <c r="A29" s="262" t="s">
        <v>37</v>
      </c>
      <c r="B29" s="286">
        <v>18925</v>
      </c>
      <c r="C29" s="286">
        <v>8958</v>
      </c>
      <c r="D29" s="286">
        <v>10862</v>
      </c>
      <c r="E29" s="286">
        <v>15944</v>
      </c>
      <c r="F29" s="286">
        <v>15255</v>
      </c>
      <c r="G29" s="286">
        <v>13063</v>
      </c>
      <c r="H29" s="286">
        <v>14777</v>
      </c>
      <c r="I29" s="286">
        <v>15207</v>
      </c>
      <c r="J29" s="286">
        <v>13898</v>
      </c>
      <c r="K29" s="262"/>
    </row>
    <row r="30" spans="1:11">
      <c r="A30" s="262" t="s">
        <v>387</v>
      </c>
      <c r="B30" s="286">
        <v>2171</v>
      </c>
      <c r="C30" s="286">
        <v>2379</v>
      </c>
      <c r="D30" s="286">
        <v>2661</v>
      </c>
      <c r="E30" s="286">
        <v>2543</v>
      </c>
      <c r="F30" s="296">
        <v>589</v>
      </c>
      <c r="G30" s="296">
        <v>842</v>
      </c>
      <c r="H30" s="296">
        <v>1618</v>
      </c>
      <c r="I30" s="296">
        <v>1874</v>
      </c>
      <c r="J30" s="296">
        <v>1934</v>
      </c>
      <c r="K30" s="262"/>
    </row>
    <row r="31" spans="1:11">
      <c r="A31" s="262" t="s">
        <v>38</v>
      </c>
      <c r="B31" s="307">
        <v>96085</v>
      </c>
      <c r="C31" s="307">
        <v>96085</v>
      </c>
      <c r="D31" s="307">
        <v>88462</v>
      </c>
      <c r="E31" s="307">
        <v>88462</v>
      </c>
      <c r="F31" s="307">
        <v>88462</v>
      </c>
      <c r="G31" s="307">
        <v>88462</v>
      </c>
      <c r="H31" s="307">
        <v>83487</v>
      </c>
      <c r="I31" s="307">
        <v>83487</v>
      </c>
      <c r="J31" s="307">
        <v>83487</v>
      </c>
      <c r="K31" s="262"/>
    </row>
    <row r="32" spans="1:11">
      <c r="A32" s="260" t="s">
        <v>412</v>
      </c>
      <c r="B32" s="308">
        <v>870678</v>
      </c>
      <c r="C32" s="308">
        <v>812822</v>
      </c>
      <c r="D32" s="308">
        <v>780317</v>
      </c>
      <c r="E32" s="308">
        <v>746408</v>
      </c>
      <c r="F32" s="308">
        <v>754376</v>
      </c>
      <c r="G32" s="308">
        <v>745765</v>
      </c>
      <c r="H32" s="308">
        <v>728134</v>
      </c>
      <c r="I32" s="308">
        <v>716350</v>
      </c>
      <c r="J32" s="308">
        <v>713064</v>
      </c>
      <c r="K32" s="260"/>
    </row>
    <row r="33" spans="1:11">
      <c r="A33" s="280"/>
      <c r="B33" s="318"/>
      <c r="C33" s="325"/>
      <c r="D33" s="318"/>
      <c r="E33" s="318"/>
      <c r="F33" s="318"/>
      <c r="G33" s="318"/>
      <c r="H33" s="318"/>
      <c r="I33" s="318"/>
      <c r="J33" s="318"/>
      <c r="K33" s="280"/>
    </row>
    <row r="34" spans="1:11">
      <c r="A34" s="260" t="s">
        <v>444</v>
      </c>
      <c r="B34" s="288">
        <v>0.22615938383650441</v>
      </c>
      <c r="C34" s="288">
        <v>0.23855776541481408</v>
      </c>
      <c r="D34" s="288">
        <v>0.2482657689118653</v>
      </c>
      <c r="E34" s="288">
        <v>0.26136375815907653</v>
      </c>
      <c r="F34" s="288">
        <v>0.26471282225309395</v>
      </c>
      <c r="G34" s="288">
        <v>0.26977130865621207</v>
      </c>
      <c r="H34" s="288">
        <v>0.27588603196664352</v>
      </c>
      <c r="I34" s="288">
        <v>0.28066308368814125</v>
      </c>
      <c r="J34" s="288">
        <v>0.27506787609527333</v>
      </c>
      <c r="K34" s="260"/>
    </row>
    <row r="35" spans="1:11">
      <c r="A35" s="262" t="s">
        <v>394</v>
      </c>
      <c r="B35" s="284">
        <v>0.19129134299662776</v>
      </c>
      <c r="C35" s="284">
        <v>0.19586086316472559</v>
      </c>
      <c r="D35" s="284">
        <v>0.20327626846535379</v>
      </c>
      <c r="E35" s="284">
        <v>0.22668956217867545</v>
      </c>
      <c r="F35" s="284">
        <v>0.21993410708974187</v>
      </c>
      <c r="G35" s="284">
        <v>0.22253655330735245</v>
      </c>
      <c r="H35" s="284">
        <v>0.22501751108834661</v>
      </c>
      <c r="I35" s="284">
        <v>0.22948000279193131</v>
      </c>
      <c r="J35" s="284">
        <v>0.22456246174803013</v>
      </c>
      <c r="K35" s="262"/>
    </row>
    <row r="36" spans="1:11">
      <c r="A36" s="262" t="s">
        <v>100</v>
      </c>
      <c r="B36" s="284">
        <v>0.20220003034576825</v>
      </c>
      <c r="C36" s="284">
        <v>0.21229496749986632</v>
      </c>
      <c r="D36" s="284">
        <v>0.22119462569433687</v>
      </c>
      <c r="E36" s="284">
        <v>0.24414247333569752</v>
      </c>
      <c r="F36" s="284">
        <v>0.23725305804070698</v>
      </c>
      <c r="G36" s="284">
        <v>0.2408680622267596</v>
      </c>
      <c r="H36" s="284">
        <v>0.24514017622760767</v>
      </c>
      <c r="I36" s="284">
        <v>0.25024638793885673</v>
      </c>
      <c r="J36" s="284">
        <v>0.24554244544335807</v>
      </c>
      <c r="K36" s="262"/>
    </row>
    <row r="37" spans="1:11">
      <c r="A37" s="262" t="s">
        <v>379</v>
      </c>
      <c r="B37" s="284">
        <v>0.22886900513711669</v>
      </c>
      <c r="C37" s="284">
        <v>0.23789344099150228</v>
      </c>
      <c r="D37" s="284">
        <v>0.2535385362842803</v>
      </c>
      <c r="E37" s="284">
        <v>0.27182704815328435</v>
      </c>
      <c r="F37" s="284">
        <v>0.26871523797065122</v>
      </c>
      <c r="G37" s="284">
        <v>0.2697713667775104</v>
      </c>
      <c r="H37" s="284">
        <v>0.27588588360357252</v>
      </c>
      <c r="I37" s="284">
        <v>0.28066308368814125</v>
      </c>
      <c r="J37" s="284">
        <v>0.27506863462522946</v>
      </c>
      <c r="K37" s="262"/>
    </row>
    <row r="38" spans="1:11">
      <c r="A38" s="262"/>
      <c r="B38" s="284"/>
      <c r="C38" s="284"/>
      <c r="D38" s="284"/>
      <c r="E38" s="284"/>
      <c r="F38" s="284"/>
      <c r="G38" s="284"/>
      <c r="H38" s="284"/>
      <c r="I38" s="284"/>
      <c r="J38" s="284"/>
      <c r="K38" s="262"/>
    </row>
    <row r="39" spans="1:11">
      <c r="A39" s="260" t="s">
        <v>360</v>
      </c>
      <c r="B39" s="284"/>
      <c r="C39" s="284"/>
      <c r="D39" s="284"/>
      <c r="E39" s="284"/>
      <c r="F39" s="284"/>
      <c r="G39" s="284"/>
      <c r="H39" s="284"/>
      <c r="I39" s="284"/>
      <c r="J39" s="284"/>
      <c r="K39" s="260"/>
    </row>
    <row r="40" spans="1:11">
      <c r="A40" s="262" t="s">
        <v>361</v>
      </c>
      <c r="B40" s="286">
        <v>1313520</v>
      </c>
      <c r="C40" s="286">
        <v>1256916</v>
      </c>
      <c r="D40" s="286">
        <v>1294546</v>
      </c>
      <c r="E40" s="286">
        <v>1165903</v>
      </c>
      <c r="F40" s="286">
        <v>1139032</v>
      </c>
      <c r="G40" s="286">
        <v>1114450</v>
      </c>
      <c r="H40" s="286">
        <v>1176825</v>
      </c>
      <c r="I40" s="286">
        <v>1130553</v>
      </c>
      <c r="J40" s="286">
        <v>1136168</v>
      </c>
      <c r="K40" s="262"/>
    </row>
    <row r="41" spans="1:11">
      <c r="A41" s="262" t="s">
        <v>362</v>
      </c>
      <c r="B41" s="286">
        <v>13737</v>
      </c>
      <c r="C41" s="286">
        <v>4796</v>
      </c>
      <c r="D41" s="286">
        <v>7076</v>
      </c>
      <c r="E41" s="286">
        <v>6574</v>
      </c>
      <c r="F41" s="286">
        <v>6409</v>
      </c>
      <c r="G41" s="286">
        <v>9124</v>
      </c>
      <c r="H41" s="286">
        <v>13083</v>
      </c>
      <c r="I41" s="286">
        <v>12153</v>
      </c>
      <c r="J41" s="286">
        <v>13176</v>
      </c>
      <c r="K41" s="262"/>
    </row>
    <row r="42" spans="1:11">
      <c r="A42" s="262" t="s">
        <v>363</v>
      </c>
      <c r="B42" s="286">
        <v>354</v>
      </c>
      <c r="C42" s="286">
        <v>720</v>
      </c>
      <c r="D42" s="286">
        <v>689</v>
      </c>
      <c r="E42" s="286">
        <v>74</v>
      </c>
      <c r="F42" s="286">
        <v>514</v>
      </c>
      <c r="G42" s="286">
        <v>512</v>
      </c>
      <c r="H42" s="286">
        <v>2871</v>
      </c>
      <c r="I42" s="286">
        <v>525</v>
      </c>
      <c r="J42" s="286">
        <v>1557</v>
      </c>
      <c r="K42" s="262"/>
    </row>
    <row r="43" spans="1:11">
      <c r="A43" s="262" t="s">
        <v>364</v>
      </c>
      <c r="B43" s="286">
        <v>76115</v>
      </c>
      <c r="C43" s="286">
        <v>102016</v>
      </c>
      <c r="D43" s="286">
        <v>89800</v>
      </c>
      <c r="E43" s="286">
        <v>73017</v>
      </c>
      <c r="F43" s="286">
        <v>74587</v>
      </c>
      <c r="G43" s="286">
        <v>65425</v>
      </c>
      <c r="H43" s="286">
        <v>66612</v>
      </c>
      <c r="I43" s="286">
        <v>62666</v>
      </c>
      <c r="J43" s="286">
        <v>56222</v>
      </c>
      <c r="K43" s="262"/>
    </row>
    <row r="44" spans="1:11">
      <c r="A44" s="260" t="s">
        <v>365</v>
      </c>
      <c r="B44" s="308">
        <v>1403726</v>
      </c>
      <c r="C44" s="308">
        <v>1364448</v>
      </c>
      <c r="D44" s="308">
        <v>1392111</v>
      </c>
      <c r="E44" s="308">
        <v>1245568</v>
      </c>
      <c r="F44" s="308">
        <v>1220542</v>
      </c>
      <c r="G44" s="308">
        <v>1189511</v>
      </c>
      <c r="H44" s="308">
        <v>1259391</v>
      </c>
      <c r="I44" s="308">
        <v>1205897</v>
      </c>
      <c r="J44" s="308">
        <v>1207123</v>
      </c>
      <c r="K44" s="260"/>
    </row>
    <row r="45" spans="1:11">
      <c r="A45" s="260" t="s">
        <v>124</v>
      </c>
      <c r="B45" s="308">
        <v>176642</v>
      </c>
      <c r="C45" s="308">
        <v>173098</v>
      </c>
      <c r="D45" s="308">
        <v>172602</v>
      </c>
      <c r="E45" s="308">
        <v>174420</v>
      </c>
      <c r="F45" s="308">
        <v>178978</v>
      </c>
      <c r="G45" s="308">
        <v>179631</v>
      </c>
      <c r="H45" s="308">
        <v>202329</v>
      </c>
      <c r="I45" s="308">
        <v>204125</v>
      </c>
      <c r="J45" s="308">
        <v>197990</v>
      </c>
      <c r="K45" s="260"/>
    </row>
    <row r="46" spans="1:11">
      <c r="A46" s="260" t="s">
        <v>360</v>
      </c>
      <c r="B46" s="301">
        <v>0.12583794843153151</v>
      </c>
      <c r="C46" s="301">
        <v>0.12686302446117403</v>
      </c>
      <c r="D46" s="301">
        <v>0.12398580285623775</v>
      </c>
      <c r="E46" s="301">
        <v>0.14003249922926728</v>
      </c>
      <c r="F46" s="301">
        <v>0.14663813289505809</v>
      </c>
      <c r="G46" s="301">
        <v>0.15101247487412894</v>
      </c>
      <c r="H46" s="301">
        <v>0.16630209710742944</v>
      </c>
      <c r="I46" s="301">
        <v>0.17194647778269559</v>
      </c>
      <c r="J46" s="301">
        <v>0.16857882899872828</v>
      </c>
      <c r="K46" s="260"/>
    </row>
    <row r="47" spans="1:11">
      <c r="A47" s="266"/>
      <c r="B47" s="284"/>
      <c r="C47" s="284"/>
      <c r="D47" s="284"/>
      <c r="E47" s="284"/>
      <c r="F47" s="284"/>
      <c r="G47" s="284"/>
      <c r="H47" s="284"/>
      <c r="I47" s="284"/>
      <c r="J47" s="284"/>
      <c r="K47" s="266"/>
    </row>
    <row r="48" spans="1:11">
      <c r="A48" s="260" t="s">
        <v>359</v>
      </c>
      <c r="B48" s="284"/>
      <c r="C48" s="284"/>
      <c r="D48" s="284"/>
      <c r="E48" s="284"/>
      <c r="F48" s="284"/>
      <c r="G48" s="284"/>
      <c r="H48" s="284"/>
      <c r="I48" s="284"/>
      <c r="J48" s="284"/>
      <c r="K48" s="260"/>
    </row>
    <row r="49" spans="1:11">
      <c r="A49" s="262" t="s">
        <v>435</v>
      </c>
      <c r="B49" s="327">
        <v>2.7647163647163648E-2</v>
      </c>
      <c r="C49" s="327">
        <v>3.726214213238159E-2</v>
      </c>
      <c r="D49" s="327">
        <v>3.8927832726434977E-2</v>
      </c>
      <c r="E49" s="327">
        <v>3.7003421692560455E-2</v>
      </c>
      <c r="F49" s="327">
        <v>3.220497273256314E-2</v>
      </c>
      <c r="G49" s="327">
        <v>1.7207791849338738E-2</v>
      </c>
      <c r="H49" s="327">
        <v>1.2433866019671894E-2</v>
      </c>
      <c r="I49" s="327">
        <v>7.6550517897847961E-3</v>
      </c>
      <c r="J49" s="327">
        <v>-1.212155896871831E-2</v>
      </c>
      <c r="K49" s="262"/>
    </row>
    <row r="50" spans="1:11">
      <c r="A50" s="262" t="s">
        <v>410</v>
      </c>
      <c r="B50" s="284">
        <v>0.64926790528070155</v>
      </c>
      <c r="C50" s="284">
        <v>0.61865002770454169</v>
      </c>
      <c r="D50" s="284">
        <v>0.57969068978940519</v>
      </c>
      <c r="E50" s="284">
        <v>0.61285470310036783</v>
      </c>
      <c r="F50" s="284">
        <v>0.63871007617520381</v>
      </c>
      <c r="G50" s="284">
        <v>0.63593517897921559</v>
      </c>
      <c r="H50" s="284">
        <v>0.58900224556226422</v>
      </c>
      <c r="I50" s="284">
        <v>0.60592142602785026</v>
      </c>
      <c r="J50" s="284">
        <v>0.60031317876445922</v>
      </c>
      <c r="K50" s="262"/>
    </row>
    <row r="52" spans="1:11" ht="19.5" customHeight="1">
      <c r="A52" s="337"/>
      <c r="B52" s="337"/>
      <c r="C52" s="337"/>
      <c r="D52" s="337"/>
      <c r="E52" s="337"/>
      <c r="F52" s="337"/>
      <c r="K52" s="270"/>
    </row>
    <row r="53" spans="1:11">
      <c r="A53" s="270" t="s">
        <v>446</v>
      </c>
      <c r="K53" s="270"/>
    </row>
    <row r="54" spans="1:11">
      <c r="A54" s="270"/>
      <c r="K54" s="270"/>
    </row>
    <row r="58" spans="1:11">
      <c r="A58" s="270"/>
    </row>
    <row r="59" spans="1:11">
      <c r="A59" s="270"/>
    </row>
    <row r="60" spans="1:11">
      <c r="A60" s="266"/>
      <c r="B60" s="263"/>
      <c r="C60" s="263"/>
      <c r="D60" s="263"/>
      <c r="E60" s="263"/>
      <c r="F60" s="263"/>
      <c r="G60" s="263"/>
      <c r="H60" s="263"/>
      <c r="I60" s="263"/>
      <c r="J60" s="263"/>
    </row>
    <row r="61" spans="1:11">
      <c r="B61" s="267"/>
      <c r="C61" s="267"/>
      <c r="D61" s="267"/>
      <c r="E61" s="267"/>
      <c r="F61" s="267"/>
      <c r="G61" s="267"/>
      <c r="H61" s="267"/>
      <c r="I61" s="267"/>
      <c r="J61" s="267"/>
    </row>
    <row r="62" spans="1:11">
      <c r="A62" s="280"/>
      <c r="B62" s="269"/>
      <c r="C62" s="269"/>
      <c r="D62" s="269"/>
      <c r="E62" s="269"/>
      <c r="F62" s="269"/>
      <c r="G62" s="269"/>
      <c r="H62" s="269"/>
      <c r="I62" s="269"/>
      <c r="J62" s="269"/>
    </row>
    <row r="63" spans="1:11">
      <c r="A63" s="266"/>
      <c r="B63" s="263"/>
      <c r="C63" s="263"/>
      <c r="D63" s="263"/>
      <c r="E63" s="263"/>
      <c r="F63" s="263"/>
      <c r="G63" s="263"/>
      <c r="H63" s="263"/>
      <c r="I63" s="263"/>
      <c r="J63" s="263"/>
    </row>
    <row r="64" spans="1:11">
      <c r="A64" s="266"/>
      <c r="B64" s="263"/>
      <c r="C64" s="263"/>
      <c r="D64" s="263"/>
      <c r="E64" s="263"/>
      <c r="F64" s="263"/>
      <c r="G64" s="263"/>
      <c r="H64" s="263"/>
      <c r="I64" s="263"/>
      <c r="J64" s="263"/>
    </row>
    <row r="65" spans="1:10">
      <c r="A65" s="266"/>
      <c r="B65" s="263"/>
      <c r="C65" s="263"/>
      <c r="D65" s="263"/>
      <c r="E65" s="263"/>
      <c r="F65" s="263"/>
      <c r="G65" s="263"/>
      <c r="H65" s="263"/>
      <c r="I65" s="263"/>
      <c r="J65" s="263"/>
    </row>
  </sheetData>
  <pageMargins left="0.70866141732283472" right="0.70866141732283472" top="0.74803149606299213" bottom="0.74803149606299213" header="0.31496062992125984" footer="0.31496062992125984"/>
  <pageSetup paperSize="9" scale="91" firstPageNumber="16" fitToHeight="2" orientation="landscape" useFirstPageNumber="1" r:id="rId1"/>
  <headerFooter>
    <oddFooter>&amp;L&amp;8______________________________________________________&amp;"-,Italic"
Arion Bank Factbook 31.03.2022&amp;C&amp;8&amp;P&amp;R&amp;8__________________________&amp;"-,Italic"____________________________
All amounts are in ISK millions</oddFooter>
  </headerFooter>
  <rowBreaks count="1" manualBreakCount="1">
    <brk id="33"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5FAC"/>
  </sheetPr>
  <dimension ref="A1:R146"/>
  <sheetViews>
    <sheetView topLeftCell="A2" zoomScaleNormal="100" zoomScaleSheetLayoutView="100" workbookViewId="0"/>
  </sheetViews>
  <sheetFormatPr defaultColWidth="9.140625" defaultRowHeight="14.25"/>
  <cols>
    <col min="1" max="1" width="44" style="268" customWidth="1"/>
    <col min="2" max="6" width="9.7109375" style="268" customWidth="1"/>
    <col min="7" max="7" width="9.7109375" style="336" customWidth="1"/>
    <col min="8" max="12" width="9.7109375" style="268" customWidth="1"/>
    <col min="13" max="13" width="9.140625" style="268"/>
    <col min="14" max="14" width="9.140625" style="339"/>
    <col min="15" max="15" width="11.28515625" style="268" bestFit="1" customWidth="1"/>
    <col min="16" max="16" width="9.85546875" style="268" bestFit="1" customWidth="1"/>
    <col min="17" max="16384" width="9.140625" style="268"/>
  </cols>
  <sheetData>
    <row r="1" spans="1:18" hidden="1">
      <c r="G1" s="335">
        <v>0</v>
      </c>
      <c r="H1" s="279">
        <v>1</v>
      </c>
      <c r="I1" s="279">
        <v>2</v>
      </c>
      <c r="J1" s="279">
        <v>3</v>
      </c>
      <c r="K1" s="279"/>
      <c r="L1" s="279"/>
    </row>
    <row r="2" spans="1:18" ht="27.75" customHeight="1">
      <c r="A2" s="340" t="s">
        <v>413</v>
      </c>
      <c r="B2" s="340"/>
      <c r="C2" s="340"/>
      <c r="D2" s="340"/>
      <c r="E2" s="340"/>
      <c r="F2" s="340"/>
      <c r="G2" s="340"/>
      <c r="H2" s="340"/>
      <c r="I2" s="340"/>
      <c r="J2" s="340"/>
      <c r="K2" s="340"/>
      <c r="L2" s="340"/>
    </row>
    <row r="3" spans="1:18">
      <c r="A3" s="256" t="s">
        <v>315</v>
      </c>
      <c r="B3" s="257" t="s">
        <v>445</v>
      </c>
      <c r="C3" s="257" t="s">
        <v>440</v>
      </c>
      <c r="D3" s="257" t="s">
        <v>439</v>
      </c>
      <c r="E3" s="257" t="s">
        <v>438</v>
      </c>
      <c r="F3" s="257" t="s">
        <v>437</v>
      </c>
      <c r="G3" s="257" t="s">
        <v>277</v>
      </c>
      <c r="H3" s="257" t="s">
        <v>276</v>
      </c>
      <c r="I3" s="257" t="s">
        <v>275</v>
      </c>
      <c r="J3" s="257" t="s">
        <v>274</v>
      </c>
      <c r="K3" s="257" t="s">
        <v>273</v>
      </c>
      <c r="L3" s="257" t="s">
        <v>272</v>
      </c>
    </row>
    <row r="4" spans="1:18">
      <c r="A4" s="258"/>
      <c r="B4" s="258"/>
      <c r="C4" s="258"/>
      <c r="D4" s="258"/>
      <c r="E4" s="258"/>
      <c r="F4" s="258"/>
      <c r="G4" s="259"/>
      <c r="H4" s="259"/>
      <c r="I4" s="259"/>
      <c r="J4" s="259"/>
      <c r="K4" s="259"/>
      <c r="L4" s="259"/>
    </row>
    <row r="5" spans="1:18" ht="15.75">
      <c r="A5" s="328" t="s">
        <v>414</v>
      </c>
      <c r="B5" s="328"/>
      <c r="C5" s="328"/>
      <c r="D5" s="328"/>
      <c r="E5" s="328"/>
      <c r="F5" s="328"/>
      <c r="G5" s="259"/>
      <c r="H5" s="259"/>
      <c r="I5" s="259"/>
      <c r="J5" s="259"/>
      <c r="K5" s="259"/>
      <c r="L5" s="259"/>
    </row>
    <row r="6" spans="1:18" ht="6" customHeight="1">
      <c r="G6" s="280"/>
      <c r="H6" s="318"/>
      <c r="I6" s="318"/>
      <c r="J6" s="280"/>
      <c r="K6" s="280"/>
      <c r="L6" s="280"/>
    </row>
    <row r="7" spans="1:18">
      <c r="A7" s="262" t="s">
        <v>0</v>
      </c>
      <c r="B7" s="290">
        <v>477</v>
      </c>
      <c r="C7" s="290">
        <v>371</v>
      </c>
      <c r="D7" s="290">
        <v>248</v>
      </c>
      <c r="E7" s="290">
        <v>207</v>
      </c>
      <c r="F7" s="285">
        <v>139</v>
      </c>
      <c r="G7" s="285">
        <v>398</v>
      </c>
      <c r="H7" s="285">
        <v>169</v>
      </c>
      <c r="I7" s="285">
        <v>212</v>
      </c>
      <c r="J7" s="285">
        <v>197</v>
      </c>
      <c r="K7" s="285">
        <v>182</v>
      </c>
      <c r="L7" s="285">
        <v>282</v>
      </c>
      <c r="M7" s="272"/>
      <c r="N7" s="285"/>
      <c r="O7" s="272"/>
      <c r="P7" s="272"/>
      <c r="Q7" s="272"/>
      <c r="R7" s="272"/>
    </row>
    <row r="8" spans="1:18">
      <c r="A8" s="264" t="s">
        <v>316</v>
      </c>
      <c r="B8" s="290">
        <v>1521</v>
      </c>
      <c r="C8" s="290">
        <v>1513</v>
      </c>
      <c r="D8" s="290">
        <v>1699</v>
      </c>
      <c r="E8" s="290">
        <v>1239</v>
      </c>
      <c r="F8" s="285">
        <v>1191</v>
      </c>
      <c r="G8" s="285">
        <v>1125</v>
      </c>
      <c r="H8" s="285">
        <v>857</v>
      </c>
      <c r="I8" s="285">
        <v>945</v>
      </c>
      <c r="J8" s="285">
        <v>1035</v>
      </c>
      <c r="K8" s="285">
        <v>944</v>
      </c>
      <c r="L8" s="285">
        <v>1164</v>
      </c>
      <c r="M8" s="272"/>
      <c r="N8" s="285"/>
      <c r="O8" s="272"/>
      <c r="P8" s="272"/>
      <c r="Q8" s="272"/>
      <c r="R8" s="272"/>
    </row>
    <row r="9" spans="1:18">
      <c r="A9" s="264" t="s">
        <v>391</v>
      </c>
      <c r="B9" s="290">
        <v>0</v>
      </c>
      <c r="C9" s="290">
        <v>0</v>
      </c>
      <c r="D9" s="290">
        <v>0</v>
      </c>
      <c r="E9" s="290">
        <v>0</v>
      </c>
      <c r="F9" s="285">
        <v>0</v>
      </c>
      <c r="G9" s="285">
        <v>0</v>
      </c>
      <c r="H9" s="285">
        <v>0</v>
      </c>
      <c r="I9" s="285">
        <v>0</v>
      </c>
      <c r="J9" s="285">
        <v>0</v>
      </c>
      <c r="K9" s="285">
        <v>0</v>
      </c>
      <c r="L9" s="285">
        <v>0</v>
      </c>
      <c r="M9" s="272"/>
      <c r="N9" s="285"/>
      <c r="O9" s="272"/>
      <c r="P9" s="272"/>
      <c r="Q9" s="272"/>
      <c r="R9" s="272"/>
    </row>
    <row r="10" spans="1:18">
      <c r="A10" s="264" t="s">
        <v>424</v>
      </c>
      <c r="B10" s="290">
        <v>-35</v>
      </c>
      <c r="C10" s="290">
        <v>54</v>
      </c>
      <c r="D10" s="290">
        <v>104</v>
      </c>
      <c r="E10" s="290">
        <v>103</v>
      </c>
      <c r="F10" s="285">
        <v>65</v>
      </c>
      <c r="G10" s="285">
        <v>99</v>
      </c>
      <c r="H10" s="285">
        <v>46</v>
      </c>
      <c r="I10" s="285">
        <v>133</v>
      </c>
      <c r="J10" s="285">
        <v>-136</v>
      </c>
      <c r="K10" s="285">
        <v>87</v>
      </c>
      <c r="L10" s="285">
        <v>-68</v>
      </c>
      <c r="M10" s="272"/>
      <c r="N10" s="285"/>
      <c r="O10" s="272"/>
      <c r="P10" s="272"/>
      <c r="Q10" s="272"/>
      <c r="R10" s="272"/>
    </row>
    <row r="11" spans="1:18">
      <c r="A11" s="264" t="s">
        <v>382</v>
      </c>
      <c r="B11" s="290">
        <v>0</v>
      </c>
      <c r="C11" s="290">
        <v>0</v>
      </c>
      <c r="D11" s="290">
        <v>0</v>
      </c>
      <c r="E11" s="290">
        <v>0</v>
      </c>
      <c r="F11" s="285">
        <v>0</v>
      </c>
      <c r="G11" s="285">
        <v>0</v>
      </c>
      <c r="H11" s="285">
        <v>0</v>
      </c>
      <c r="I11" s="285">
        <v>0</v>
      </c>
      <c r="J11" s="285">
        <v>1</v>
      </c>
      <c r="K11" s="285">
        <v>0</v>
      </c>
      <c r="L11" s="285">
        <v>0</v>
      </c>
      <c r="M11" s="272"/>
      <c r="N11" s="285"/>
      <c r="O11" s="272"/>
      <c r="P11" s="272"/>
      <c r="Q11" s="272"/>
      <c r="R11" s="272"/>
    </row>
    <row r="12" spans="1:18">
      <c r="A12" s="264" t="s">
        <v>10</v>
      </c>
      <c r="B12" s="290">
        <v>0</v>
      </c>
      <c r="C12" s="290">
        <v>1</v>
      </c>
      <c r="D12" s="290">
        <v>1</v>
      </c>
      <c r="E12" s="290">
        <v>2</v>
      </c>
      <c r="F12" s="285">
        <v>0</v>
      </c>
      <c r="G12" s="285">
        <v>5</v>
      </c>
      <c r="H12" s="285">
        <v>4</v>
      </c>
      <c r="I12" s="285">
        <v>1</v>
      </c>
      <c r="J12" s="285">
        <v>3</v>
      </c>
      <c r="K12" s="285">
        <v>11</v>
      </c>
      <c r="L12" s="285">
        <v>3</v>
      </c>
      <c r="M12" s="272"/>
      <c r="N12" s="285"/>
      <c r="O12" s="272"/>
      <c r="P12" s="272"/>
      <c r="Q12" s="272"/>
      <c r="R12" s="272"/>
    </row>
    <row r="13" spans="1:18">
      <c r="A13" s="260" t="s">
        <v>405</v>
      </c>
      <c r="B13" s="292">
        <v>1963</v>
      </c>
      <c r="C13" s="292">
        <v>1939</v>
      </c>
      <c r="D13" s="292">
        <v>2052</v>
      </c>
      <c r="E13" s="292">
        <v>1551</v>
      </c>
      <c r="F13" s="292">
        <v>1395</v>
      </c>
      <c r="G13" s="292">
        <v>1627</v>
      </c>
      <c r="H13" s="292">
        <v>1076</v>
      </c>
      <c r="I13" s="292">
        <v>1291</v>
      </c>
      <c r="J13" s="292">
        <v>1100</v>
      </c>
      <c r="K13" s="292">
        <v>1224</v>
      </c>
      <c r="L13" s="292">
        <v>1381</v>
      </c>
      <c r="M13" s="272"/>
      <c r="N13" s="285"/>
      <c r="O13" s="272"/>
      <c r="P13" s="272"/>
      <c r="Q13" s="272"/>
      <c r="R13" s="272"/>
    </row>
    <row r="14" spans="1:18">
      <c r="A14" s="262" t="s">
        <v>283</v>
      </c>
      <c r="B14" s="290">
        <v>-513</v>
      </c>
      <c r="C14" s="290">
        <v>-664</v>
      </c>
      <c r="D14" s="290">
        <v>-404</v>
      </c>
      <c r="E14" s="290">
        <v>-459</v>
      </c>
      <c r="F14" s="285">
        <v>-439</v>
      </c>
      <c r="G14" s="285">
        <v>-497</v>
      </c>
      <c r="H14" s="285">
        <v>-326</v>
      </c>
      <c r="I14" s="285">
        <v>-531</v>
      </c>
      <c r="J14" s="285">
        <v>-474</v>
      </c>
      <c r="K14" s="285">
        <v>-477</v>
      </c>
      <c r="L14" s="285">
        <v>-421</v>
      </c>
      <c r="M14" s="272"/>
      <c r="N14" s="285"/>
      <c r="O14" s="272"/>
      <c r="P14" s="272"/>
      <c r="Q14" s="272"/>
      <c r="R14" s="272"/>
    </row>
    <row r="15" spans="1:18">
      <c r="A15" s="262" t="s">
        <v>406</v>
      </c>
      <c r="B15" s="290">
        <v>-483</v>
      </c>
      <c r="C15" s="290">
        <v>-558</v>
      </c>
      <c r="D15" s="290">
        <v>-435</v>
      </c>
      <c r="E15" s="290">
        <v>-522</v>
      </c>
      <c r="F15" s="285">
        <v>-467</v>
      </c>
      <c r="G15" s="285">
        <v>-407</v>
      </c>
      <c r="H15" s="285">
        <v>-408</v>
      </c>
      <c r="I15" s="285">
        <v>-497</v>
      </c>
      <c r="J15" s="285">
        <v>-468</v>
      </c>
      <c r="K15" s="285">
        <v>-179</v>
      </c>
      <c r="L15" s="285">
        <v>-380</v>
      </c>
      <c r="M15" s="272"/>
      <c r="N15" s="285"/>
      <c r="O15" s="272"/>
      <c r="P15" s="272"/>
      <c r="Q15" s="272"/>
      <c r="R15" s="272"/>
    </row>
    <row r="16" spans="1:18">
      <c r="A16" s="262" t="s">
        <v>407</v>
      </c>
      <c r="B16" s="290">
        <v>-16</v>
      </c>
      <c r="C16" s="290">
        <v>-16</v>
      </c>
      <c r="D16" s="290">
        <v>-23</v>
      </c>
      <c r="E16" s="290">
        <v>-16</v>
      </c>
      <c r="F16" s="285">
        <v>-13</v>
      </c>
      <c r="G16" s="285">
        <v>-7</v>
      </c>
      <c r="H16" s="285">
        <v>-10</v>
      </c>
      <c r="I16" s="285">
        <v>-10</v>
      </c>
      <c r="J16" s="285">
        <v>-8</v>
      </c>
      <c r="K16" s="285">
        <v>-9</v>
      </c>
      <c r="L16" s="285">
        <v>-42</v>
      </c>
      <c r="M16" s="272"/>
      <c r="N16" s="285"/>
      <c r="O16" s="272"/>
      <c r="P16" s="272"/>
      <c r="Q16" s="272"/>
      <c r="R16" s="272"/>
    </row>
    <row r="17" spans="1:18">
      <c r="A17" s="262" t="s">
        <v>319</v>
      </c>
      <c r="B17" s="290">
        <v>-1</v>
      </c>
      <c r="C17" s="290">
        <v>0</v>
      </c>
      <c r="D17" s="290">
        <v>1</v>
      </c>
      <c r="E17" s="290">
        <v>-1</v>
      </c>
      <c r="F17" s="285">
        <v>0</v>
      </c>
      <c r="G17" s="285">
        <v>0</v>
      </c>
      <c r="H17" s="285">
        <v>4</v>
      </c>
      <c r="I17" s="285">
        <v>-4</v>
      </c>
      <c r="J17" s="285">
        <v>0</v>
      </c>
      <c r="K17" s="285">
        <v>0</v>
      </c>
      <c r="L17" s="285">
        <v>8</v>
      </c>
      <c r="M17" s="272"/>
      <c r="N17" s="285"/>
      <c r="O17" s="272"/>
      <c r="P17" s="272"/>
      <c r="Q17" s="272"/>
      <c r="R17" s="272"/>
    </row>
    <row r="18" spans="1:18">
      <c r="A18" s="260" t="s">
        <v>408</v>
      </c>
      <c r="B18" s="292">
        <v>950</v>
      </c>
      <c r="C18" s="292">
        <v>701</v>
      </c>
      <c r="D18" s="292">
        <v>1191</v>
      </c>
      <c r="E18" s="292">
        <v>553</v>
      </c>
      <c r="F18" s="292">
        <v>476</v>
      </c>
      <c r="G18" s="292">
        <v>716</v>
      </c>
      <c r="H18" s="292">
        <v>336</v>
      </c>
      <c r="I18" s="292">
        <v>249</v>
      </c>
      <c r="J18" s="292">
        <v>150</v>
      </c>
      <c r="K18" s="292">
        <v>559</v>
      </c>
      <c r="L18" s="292">
        <v>546</v>
      </c>
      <c r="M18" s="272"/>
      <c r="N18" s="285"/>
      <c r="O18" s="272"/>
      <c r="P18" s="272"/>
      <c r="Q18" s="272"/>
      <c r="R18" s="272"/>
    </row>
    <row r="19" spans="1:18" ht="4.9000000000000004" customHeight="1">
      <c r="A19" s="260"/>
      <c r="B19" s="290"/>
      <c r="C19" s="290">
        <v>0</v>
      </c>
      <c r="D19" s="290"/>
      <c r="E19" s="290"/>
      <c r="F19" s="285"/>
      <c r="G19" s="285"/>
      <c r="H19" s="285"/>
      <c r="I19" s="285"/>
      <c r="J19" s="285"/>
      <c r="K19" s="285"/>
      <c r="L19" s="285"/>
      <c r="N19" s="285"/>
      <c r="O19" s="272"/>
      <c r="P19" s="272"/>
      <c r="Q19" s="272"/>
      <c r="R19" s="272"/>
    </row>
    <row r="20" spans="1:18">
      <c r="A20" s="260" t="s">
        <v>15</v>
      </c>
      <c r="B20" s="290">
        <v>88234</v>
      </c>
      <c r="C20" s="290">
        <v>80834</v>
      </c>
      <c r="D20" s="290">
        <v>80834</v>
      </c>
      <c r="E20" s="290">
        <v>77722</v>
      </c>
      <c r="F20" s="285">
        <v>77927</v>
      </c>
      <c r="G20" s="285">
        <v>79193</v>
      </c>
      <c r="H20" s="285">
        <v>75528</v>
      </c>
      <c r="I20" s="285">
        <v>74317</v>
      </c>
      <c r="J20" s="285">
        <v>77452</v>
      </c>
      <c r="K20" s="285">
        <v>69692</v>
      </c>
      <c r="L20" s="285">
        <v>70735</v>
      </c>
      <c r="N20" s="285"/>
      <c r="O20" s="272"/>
      <c r="Q20" s="272"/>
      <c r="R20" s="272"/>
    </row>
    <row r="21" spans="1:18">
      <c r="A21" s="260" t="s">
        <v>368</v>
      </c>
      <c r="B21" s="292">
        <v>80791</v>
      </c>
      <c r="C21" s="292">
        <v>73121</v>
      </c>
      <c r="D21" s="292">
        <v>73121</v>
      </c>
      <c r="E21" s="292">
        <v>71114</v>
      </c>
      <c r="F21" s="292">
        <v>69810</v>
      </c>
      <c r="G21" s="292">
        <v>71355</v>
      </c>
      <c r="H21" s="292">
        <v>67762</v>
      </c>
      <c r="I21" s="292">
        <v>67980</v>
      </c>
      <c r="J21" s="292">
        <v>69303</v>
      </c>
      <c r="K21" s="292">
        <v>62540</v>
      </c>
      <c r="L21" s="292">
        <v>63825</v>
      </c>
      <c r="N21" s="285"/>
      <c r="O21" s="272"/>
      <c r="Q21" s="272"/>
      <c r="R21" s="272"/>
    </row>
    <row r="22" spans="1:18">
      <c r="A22" s="260" t="s">
        <v>415</v>
      </c>
      <c r="B22" s="292">
        <v>7443</v>
      </c>
      <c r="C22" s="292">
        <v>7713</v>
      </c>
      <c r="D22" s="292">
        <v>7713</v>
      </c>
      <c r="E22" s="292">
        <v>6608</v>
      </c>
      <c r="F22" s="292">
        <v>8117</v>
      </c>
      <c r="G22" s="292">
        <v>7838</v>
      </c>
      <c r="H22" s="292">
        <v>7766</v>
      </c>
      <c r="I22" s="292">
        <v>6337</v>
      </c>
      <c r="J22" s="292">
        <v>8149</v>
      </c>
      <c r="K22" s="292">
        <v>7152</v>
      </c>
      <c r="L22" s="292">
        <v>6910</v>
      </c>
      <c r="N22" s="285"/>
      <c r="O22" s="272"/>
      <c r="Q22" s="272"/>
      <c r="R22" s="272"/>
    </row>
    <row r="23" spans="1:18" ht="1.5" customHeight="1">
      <c r="A23" s="260"/>
      <c r="B23" s="292">
        <v>0</v>
      </c>
      <c r="C23" s="292"/>
      <c r="D23" s="292"/>
      <c r="E23" s="292"/>
      <c r="F23" s="292"/>
      <c r="G23" s="292"/>
      <c r="H23" s="292"/>
      <c r="I23" s="292"/>
      <c r="J23" s="292"/>
      <c r="K23" s="292"/>
      <c r="L23" s="292"/>
      <c r="N23" s="285"/>
      <c r="O23" s="272"/>
      <c r="P23" s="272"/>
      <c r="Q23" s="272"/>
      <c r="R23" s="272"/>
    </row>
    <row r="24" spans="1:18">
      <c r="A24" s="277"/>
      <c r="B24" s="290"/>
      <c r="C24" s="290"/>
      <c r="D24" s="290"/>
      <c r="E24" s="290"/>
      <c r="F24" s="285"/>
      <c r="G24" s="285"/>
      <c r="H24" s="285"/>
      <c r="I24" s="285"/>
      <c r="J24" s="285"/>
      <c r="K24" s="285"/>
      <c r="L24" s="285"/>
      <c r="N24" s="285"/>
      <c r="O24" s="272"/>
      <c r="P24" s="272"/>
      <c r="Q24" s="272"/>
      <c r="R24" s="272"/>
    </row>
    <row r="25" spans="1:18" ht="15.75">
      <c r="A25" s="328" t="s">
        <v>452</v>
      </c>
      <c r="B25" s="334"/>
      <c r="C25" s="334"/>
      <c r="D25" s="334"/>
      <c r="E25" s="334"/>
      <c r="F25" s="259"/>
      <c r="G25" s="259"/>
      <c r="H25" s="259"/>
      <c r="I25" s="259"/>
      <c r="J25" s="259"/>
      <c r="K25" s="259"/>
      <c r="L25" s="259"/>
      <c r="N25" s="259"/>
      <c r="O25" s="272"/>
      <c r="P25" s="272"/>
      <c r="Q25" s="272"/>
      <c r="R25" s="272"/>
    </row>
    <row r="26" spans="1:18" ht="6" customHeight="1">
      <c r="B26" s="280"/>
      <c r="C26" s="280"/>
      <c r="D26" s="280"/>
      <c r="E26" s="280"/>
      <c r="F26" s="280"/>
      <c r="G26" s="280"/>
      <c r="H26" s="280"/>
      <c r="I26" s="280"/>
      <c r="J26" s="318"/>
      <c r="K26" s="318"/>
      <c r="L26" s="280"/>
      <c r="N26" s="320"/>
      <c r="O26" s="272"/>
      <c r="P26" s="272"/>
      <c r="Q26" s="272"/>
      <c r="R26" s="272"/>
    </row>
    <row r="27" spans="1:18">
      <c r="A27" s="262" t="s">
        <v>0</v>
      </c>
      <c r="B27" s="290">
        <v>4419</v>
      </c>
      <c r="C27" s="290">
        <v>4101</v>
      </c>
      <c r="D27" s="290">
        <v>3410</v>
      </c>
      <c r="E27" s="290">
        <v>2758</v>
      </c>
      <c r="F27" s="285">
        <v>2585</v>
      </c>
      <c r="G27" s="285">
        <v>2717</v>
      </c>
      <c r="H27" s="285">
        <v>2731</v>
      </c>
      <c r="I27" s="285">
        <v>2548</v>
      </c>
      <c r="J27" s="285">
        <v>2522</v>
      </c>
      <c r="K27" s="285">
        <v>2395</v>
      </c>
      <c r="L27" s="285">
        <v>2240</v>
      </c>
      <c r="M27" s="272"/>
      <c r="N27" s="285"/>
      <c r="O27" s="272"/>
      <c r="P27" s="272"/>
      <c r="Q27" s="272"/>
      <c r="R27" s="272"/>
    </row>
    <row r="28" spans="1:18">
      <c r="A28" s="264" t="s">
        <v>316</v>
      </c>
      <c r="B28" s="290">
        <v>1133</v>
      </c>
      <c r="C28" s="290">
        <v>1530</v>
      </c>
      <c r="D28" s="290">
        <v>1027</v>
      </c>
      <c r="E28" s="290">
        <v>1363</v>
      </c>
      <c r="F28" s="285">
        <v>1107</v>
      </c>
      <c r="G28" s="285">
        <v>938</v>
      </c>
      <c r="H28" s="285">
        <v>614</v>
      </c>
      <c r="I28" s="285">
        <v>721</v>
      </c>
      <c r="J28" s="285">
        <v>837</v>
      </c>
      <c r="K28" s="285">
        <v>611</v>
      </c>
      <c r="L28" s="285">
        <v>318</v>
      </c>
      <c r="M28" s="272"/>
      <c r="N28" s="285"/>
      <c r="O28" s="272"/>
      <c r="P28" s="272"/>
      <c r="Q28" s="272"/>
      <c r="R28" s="272"/>
    </row>
    <row r="29" spans="1:18">
      <c r="A29" s="264" t="s">
        <v>391</v>
      </c>
      <c r="B29" s="290">
        <v>-61</v>
      </c>
      <c r="C29" s="290">
        <v>0</v>
      </c>
      <c r="D29" s="290">
        <v>0</v>
      </c>
      <c r="E29" s="290">
        <v>0</v>
      </c>
      <c r="F29" s="285">
        <v>0</v>
      </c>
      <c r="G29" s="285">
        <v>0</v>
      </c>
      <c r="H29" s="285">
        <v>0</v>
      </c>
      <c r="I29" s="285">
        <v>0</v>
      </c>
      <c r="J29" s="285">
        <v>0</v>
      </c>
      <c r="K29" s="285">
        <v>0</v>
      </c>
      <c r="L29" s="285">
        <v>0</v>
      </c>
      <c r="M29" s="272"/>
      <c r="N29" s="285"/>
      <c r="O29" s="272"/>
      <c r="P29" s="272"/>
      <c r="Q29" s="272"/>
      <c r="R29" s="272"/>
    </row>
    <row r="30" spans="1:18">
      <c r="A30" s="264" t="s">
        <v>424</v>
      </c>
      <c r="B30" s="290">
        <v>95</v>
      </c>
      <c r="C30" s="290">
        <v>171</v>
      </c>
      <c r="D30" s="290">
        <v>399</v>
      </c>
      <c r="E30" s="290">
        <v>460</v>
      </c>
      <c r="F30" s="285">
        <v>216</v>
      </c>
      <c r="G30" s="285">
        <v>-144</v>
      </c>
      <c r="H30" s="285">
        <v>0</v>
      </c>
      <c r="I30" s="285">
        <v>0</v>
      </c>
      <c r="J30" s="285">
        <v>0</v>
      </c>
      <c r="K30" s="285">
        <v>6</v>
      </c>
      <c r="L30" s="285">
        <v>-34</v>
      </c>
      <c r="M30" s="272"/>
      <c r="N30" s="285"/>
      <c r="O30" s="272"/>
      <c r="P30" s="272"/>
      <c r="Q30" s="272"/>
      <c r="R30" s="272"/>
    </row>
    <row r="31" spans="1:18">
      <c r="A31" s="264" t="s">
        <v>382</v>
      </c>
      <c r="B31" s="290">
        <v>0</v>
      </c>
      <c r="C31" s="290">
        <v>0</v>
      </c>
      <c r="D31" s="290">
        <v>0</v>
      </c>
      <c r="E31" s="290">
        <v>-8</v>
      </c>
      <c r="F31" s="285">
        <v>0</v>
      </c>
      <c r="G31" s="285">
        <v>0</v>
      </c>
      <c r="H31" s="285">
        <v>1</v>
      </c>
      <c r="I31" s="285">
        <v>-49</v>
      </c>
      <c r="J31" s="285">
        <v>0</v>
      </c>
      <c r="K31" s="285">
        <v>0</v>
      </c>
      <c r="L31" s="285">
        <v>0</v>
      </c>
      <c r="M31" s="272"/>
      <c r="N31" s="285"/>
      <c r="O31" s="272"/>
      <c r="P31" s="272"/>
      <c r="Q31" s="272"/>
      <c r="R31" s="272"/>
    </row>
    <row r="32" spans="1:18">
      <c r="A32" s="264" t="s">
        <v>421</v>
      </c>
      <c r="B32" s="290">
        <v>0</v>
      </c>
      <c r="C32" s="290">
        <v>-2</v>
      </c>
      <c r="D32" s="290">
        <v>-6</v>
      </c>
      <c r="E32" s="290">
        <v>21</v>
      </c>
      <c r="F32" s="285">
        <v>1</v>
      </c>
      <c r="G32" s="285">
        <v>109</v>
      </c>
      <c r="H32" s="285">
        <v>3</v>
      </c>
      <c r="I32" s="285">
        <v>-8</v>
      </c>
      <c r="J32" s="285">
        <v>-2</v>
      </c>
      <c r="K32" s="285">
        <v>-3</v>
      </c>
      <c r="L32" s="285">
        <v>-4</v>
      </c>
      <c r="M32" s="272"/>
      <c r="N32" s="285"/>
      <c r="O32" s="272"/>
      <c r="P32" s="272"/>
      <c r="Q32" s="272"/>
      <c r="R32" s="272"/>
    </row>
    <row r="33" spans="1:18">
      <c r="A33" s="260" t="s">
        <v>405</v>
      </c>
      <c r="B33" s="292">
        <v>5586</v>
      </c>
      <c r="C33" s="292">
        <v>5800</v>
      </c>
      <c r="D33" s="292">
        <v>4830</v>
      </c>
      <c r="E33" s="292">
        <v>4594</v>
      </c>
      <c r="F33" s="292">
        <v>3909</v>
      </c>
      <c r="G33" s="292">
        <v>3620</v>
      </c>
      <c r="H33" s="292">
        <v>3349</v>
      </c>
      <c r="I33" s="292">
        <v>3212</v>
      </c>
      <c r="J33" s="292">
        <v>3357</v>
      </c>
      <c r="K33" s="292">
        <v>3009</v>
      </c>
      <c r="L33" s="292">
        <v>2520</v>
      </c>
      <c r="M33" s="272"/>
      <c r="N33" s="285"/>
      <c r="O33" s="272"/>
      <c r="P33" s="272"/>
      <c r="Q33" s="272"/>
      <c r="R33" s="272"/>
    </row>
    <row r="34" spans="1:18">
      <c r="A34" s="262" t="s">
        <v>283</v>
      </c>
      <c r="B34" s="290">
        <v>-632</v>
      </c>
      <c r="C34" s="290">
        <v>-720</v>
      </c>
      <c r="D34" s="290">
        <v>-419</v>
      </c>
      <c r="E34" s="290">
        <v>-328</v>
      </c>
      <c r="F34" s="285">
        <v>-325</v>
      </c>
      <c r="G34" s="285">
        <v>-332</v>
      </c>
      <c r="H34" s="285">
        <v>-219</v>
      </c>
      <c r="I34" s="285">
        <v>-365</v>
      </c>
      <c r="J34" s="285">
        <v>-385</v>
      </c>
      <c r="K34" s="285">
        <v>-291</v>
      </c>
      <c r="L34" s="285">
        <v>-318</v>
      </c>
      <c r="M34" s="272"/>
      <c r="N34" s="285"/>
      <c r="O34" s="272"/>
      <c r="P34" s="272"/>
      <c r="Q34" s="272"/>
      <c r="R34" s="272"/>
    </row>
    <row r="35" spans="1:18">
      <c r="A35" s="262" t="s">
        <v>406</v>
      </c>
      <c r="B35" s="290">
        <v>-846</v>
      </c>
      <c r="C35" s="290">
        <v>-791</v>
      </c>
      <c r="D35" s="290">
        <v>-601</v>
      </c>
      <c r="E35" s="290">
        <v>-709</v>
      </c>
      <c r="F35" s="285">
        <v>-642</v>
      </c>
      <c r="G35" s="285">
        <v>-722</v>
      </c>
      <c r="H35" s="285">
        <v>-563</v>
      </c>
      <c r="I35" s="285">
        <v>-731</v>
      </c>
      <c r="J35" s="285">
        <v>-618</v>
      </c>
      <c r="K35" s="285">
        <v>-764</v>
      </c>
      <c r="L35" s="285">
        <v>-702</v>
      </c>
      <c r="M35" s="272"/>
      <c r="N35" s="285"/>
      <c r="O35" s="272"/>
      <c r="P35" s="272"/>
      <c r="Q35" s="272"/>
      <c r="R35" s="272"/>
    </row>
    <row r="36" spans="1:18">
      <c r="A36" s="262" t="s">
        <v>407</v>
      </c>
      <c r="B36" s="290">
        <v>-120</v>
      </c>
      <c r="C36" s="290">
        <v>-98</v>
      </c>
      <c r="D36" s="290">
        <v>-141</v>
      </c>
      <c r="E36" s="290">
        <v>-103</v>
      </c>
      <c r="F36" s="285">
        <v>-94</v>
      </c>
      <c r="G36" s="285">
        <v>-75</v>
      </c>
      <c r="H36" s="285">
        <v>-110</v>
      </c>
      <c r="I36" s="285">
        <v>-95</v>
      </c>
      <c r="J36" s="285">
        <v>-107</v>
      </c>
      <c r="K36" s="285">
        <v>-101</v>
      </c>
      <c r="L36" s="285">
        <v>-200</v>
      </c>
      <c r="M36" s="272"/>
      <c r="N36" s="285"/>
      <c r="O36" s="272"/>
      <c r="P36" s="272"/>
      <c r="Q36" s="272"/>
      <c r="R36" s="272"/>
    </row>
    <row r="37" spans="1:18">
      <c r="A37" s="262" t="s">
        <v>319</v>
      </c>
      <c r="B37" s="290">
        <v>-418</v>
      </c>
      <c r="C37" s="290">
        <v>138</v>
      </c>
      <c r="D37" s="290">
        <v>737</v>
      </c>
      <c r="E37" s="290">
        <v>551</v>
      </c>
      <c r="F37" s="285">
        <v>841</v>
      </c>
      <c r="G37" s="285">
        <v>-685</v>
      </c>
      <c r="H37" s="285">
        <v>-2651</v>
      </c>
      <c r="I37" s="285">
        <v>-1062</v>
      </c>
      <c r="J37" s="285">
        <v>-1645</v>
      </c>
      <c r="K37" s="285">
        <v>-3761</v>
      </c>
      <c r="L37" s="285">
        <v>-2870</v>
      </c>
      <c r="M37" s="272"/>
      <c r="N37" s="285"/>
      <c r="O37" s="272"/>
      <c r="P37" s="272"/>
      <c r="Q37" s="272"/>
      <c r="R37" s="272"/>
    </row>
    <row r="38" spans="1:18">
      <c r="A38" s="260" t="s">
        <v>423</v>
      </c>
      <c r="B38" s="292">
        <v>3570</v>
      </c>
      <c r="C38" s="292">
        <v>4329</v>
      </c>
      <c r="D38" s="292">
        <v>4406</v>
      </c>
      <c r="E38" s="292">
        <v>4005</v>
      </c>
      <c r="F38" s="292">
        <v>3689</v>
      </c>
      <c r="G38" s="292">
        <v>1806</v>
      </c>
      <c r="H38" s="292">
        <v>-194</v>
      </c>
      <c r="I38" s="292">
        <v>959</v>
      </c>
      <c r="J38" s="292">
        <v>602</v>
      </c>
      <c r="K38" s="292">
        <v>-1908</v>
      </c>
      <c r="L38" s="292">
        <v>-1570</v>
      </c>
      <c r="M38" s="272"/>
      <c r="N38" s="285"/>
      <c r="O38" s="272"/>
      <c r="P38" s="272"/>
      <c r="Q38" s="272"/>
      <c r="R38" s="272"/>
    </row>
    <row r="39" spans="1:18" ht="4.9000000000000004" customHeight="1">
      <c r="A39" s="277"/>
      <c r="B39" s="290"/>
      <c r="C39" s="290"/>
      <c r="D39" s="290"/>
      <c r="E39" s="290"/>
      <c r="F39" s="285"/>
      <c r="G39" s="285"/>
      <c r="H39" s="285"/>
      <c r="I39" s="285"/>
      <c r="J39" s="285"/>
      <c r="K39" s="285"/>
      <c r="L39" s="285"/>
      <c r="N39" s="285"/>
      <c r="O39" s="272"/>
      <c r="P39" s="272"/>
      <c r="Q39" s="272"/>
      <c r="R39" s="272"/>
    </row>
    <row r="40" spans="1:18">
      <c r="A40" s="260" t="s">
        <v>15</v>
      </c>
      <c r="B40" s="290">
        <v>410271</v>
      </c>
      <c r="C40" s="290">
        <v>372152</v>
      </c>
      <c r="D40" s="290">
        <v>372152</v>
      </c>
      <c r="E40" s="290">
        <v>299412</v>
      </c>
      <c r="F40" s="285">
        <v>317023</v>
      </c>
      <c r="G40" s="285">
        <v>315731</v>
      </c>
      <c r="H40" s="285">
        <v>329038</v>
      </c>
      <c r="I40" s="285">
        <v>316726</v>
      </c>
      <c r="J40" s="285">
        <v>329384</v>
      </c>
      <c r="K40" s="285">
        <v>320545</v>
      </c>
      <c r="L40" s="285">
        <v>315052</v>
      </c>
      <c r="N40" s="285"/>
      <c r="O40" s="272"/>
      <c r="Q40" s="272"/>
      <c r="R40" s="272"/>
    </row>
    <row r="41" spans="1:18">
      <c r="A41" s="260" t="s">
        <v>368</v>
      </c>
      <c r="B41" s="292">
        <v>372611</v>
      </c>
      <c r="C41" s="292">
        <v>310867</v>
      </c>
      <c r="D41" s="292">
        <v>310867</v>
      </c>
      <c r="E41" s="292">
        <v>242107</v>
      </c>
      <c r="F41" s="292">
        <v>257703</v>
      </c>
      <c r="G41" s="292">
        <v>256411</v>
      </c>
      <c r="H41" s="292">
        <v>256013</v>
      </c>
      <c r="I41" s="292">
        <v>259936</v>
      </c>
      <c r="J41" s="292">
        <v>253964</v>
      </c>
      <c r="K41" s="292">
        <v>251581</v>
      </c>
      <c r="L41" s="292">
        <v>237575</v>
      </c>
      <c r="N41" s="285"/>
      <c r="O41" s="272"/>
      <c r="Q41" s="272"/>
      <c r="R41" s="272"/>
    </row>
    <row r="42" spans="1:18">
      <c r="A42" s="260" t="s">
        <v>415</v>
      </c>
      <c r="B42" s="292">
        <v>37660</v>
      </c>
      <c r="C42" s="292">
        <v>61285</v>
      </c>
      <c r="D42" s="292">
        <v>61285</v>
      </c>
      <c r="E42" s="292">
        <v>57305</v>
      </c>
      <c r="F42" s="292">
        <v>59320</v>
      </c>
      <c r="G42" s="292">
        <v>59320</v>
      </c>
      <c r="H42" s="292">
        <v>73025</v>
      </c>
      <c r="I42" s="292">
        <v>56790</v>
      </c>
      <c r="J42" s="292">
        <v>75420</v>
      </c>
      <c r="K42" s="292">
        <v>68964</v>
      </c>
      <c r="L42" s="292">
        <v>77477</v>
      </c>
      <c r="N42" s="285"/>
      <c r="O42" s="272"/>
      <c r="Q42" s="272"/>
      <c r="R42" s="272"/>
    </row>
    <row r="43" spans="1:18" ht="1.1499999999999999" customHeight="1">
      <c r="A43" s="260"/>
      <c r="B43" s="285"/>
      <c r="C43" s="285"/>
      <c r="D43" s="285"/>
      <c r="E43" s="285"/>
      <c r="F43" s="285"/>
      <c r="G43" s="285"/>
      <c r="H43" s="285"/>
      <c r="I43" s="285"/>
      <c r="J43" s="285"/>
      <c r="K43" s="285"/>
      <c r="L43" s="285"/>
      <c r="N43" s="285"/>
      <c r="O43" s="272"/>
      <c r="P43" s="272"/>
      <c r="Q43" s="272"/>
      <c r="R43" s="272"/>
    </row>
    <row r="44" spans="1:18">
      <c r="A44" s="338" t="s">
        <v>454</v>
      </c>
      <c r="B44" s="302"/>
      <c r="C44" s="302"/>
      <c r="D44" s="302"/>
      <c r="E44" s="302"/>
      <c r="F44" s="302"/>
      <c r="G44" s="302"/>
      <c r="H44" s="302"/>
      <c r="I44" s="302"/>
      <c r="J44" s="302"/>
      <c r="K44" s="302"/>
      <c r="L44" s="302"/>
      <c r="N44" s="285"/>
      <c r="O44" s="272"/>
      <c r="Q44" s="272"/>
      <c r="R44" s="272"/>
    </row>
    <row r="45" spans="1:18" ht="15.75">
      <c r="A45" s="328" t="s">
        <v>453</v>
      </c>
      <c r="B45" s="328"/>
      <c r="C45" s="328"/>
      <c r="D45" s="334"/>
      <c r="E45" s="259"/>
      <c r="F45" s="259"/>
      <c r="G45" s="259"/>
      <c r="H45" s="259"/>
      <c r="I45" s="259"/>
      <c r="J45" s="259"/>
      <c r="K45" s="259"/>
      <c r="L45" s="259"/>
      <c r="N45" s="259"/>
      <c r="O45" s="272"/>
      <c r="P45" s="272"/>
      <c r="Q45" s="272"/>
      <c r="R45" s="272"/>
    </row>
    <row r="46" spans="1:18" ht="6" customHeight="1">
      <c r="D46" s="280"/>
      <c r="E46" s="280"/>
      <c r="F46" s="280"/>
      <c r="G46" s="280"/>
      <c r="H46" s="280"/>
      <c r="I46" s="318"/>
      <c r="J46" s="318"/>
      <c r="K46" s="280"/>
      <c r="L46" s="280"/>
      <c r="N46" s="320"/>
      <c r="O46" s="272"/>
      <c r="P46" s="272"/>
      <c r="Q46" s="272"/>
      <c r="R46" s="272"/>
    </row>
    <row r="47" spans="1:18">
      <c r="A47" s="262" t="s">
        <v>0</v>
      </c>
      <c r="B47" s="290">
        <v>4560</v>
      </c>
      <c r="C47" s="290">
        <v>4234</v>
      </c>
      <c r="D47" s="290">
        <v>3413</v>
      </c>
      <c r="E47" s="290">
        <v>4079</v>
      </c>
      <c r="F47" s="285">
        <v>3932</v>
      </c>
      <c r="G47" s="285">
        <v>3580</v>
      </c>
      <c r="H47" s="285">
        <v>4004</v>
      </c>
      <c r="I47" s="285">
        <v>3999</v>
      </c>
      <c r="J47" s="285">
        <v>3831</v>
      </c>
      <c r="K47" s="285">
        <v>4045</v>
      </c>
      <c r="L47" s="285">
        <v>4253</v>
      </c>
      <c r="M47" s="272"/>
      <c r="N47" s="285"/>
      <c r="O47" s="272"/>
      <c r="P47" s="272"/>
      <c r="Q47" s="272"/>
      <c r="R47" s="272"/>
    </row>
    <row r="48" spans="1:18">
      <c r="A48" s="264" t="s">
        <v>316</v>
      </c>
      <c r="B48" s="290">
        <v>923</v>
      </c>
      <c r="C48" s="290">
        <v>1070</v>
      </c>
      <c r="D48" s="290">
        <v>1126</v>
      </c>
      <c r="E48" s="290">
        <v>925</v>
      </c>
      <c r="F48" s="285">
        <v>940</v>
      </c>
      <c r="G48" s="285">
        <v>1047</v>
      </c>
      <c r="H48" s="285">
        <v>1291</v>
      </c>
      <c r="I48" s="285">
        <v>990</v>
      </c>
      <c r="J48" s="285">
        <v>1247</v>
      </c>
      <c r="K48" s="285">
        <v>1186</v>
      </c>
      <c r="L48" s="285">
        <v>1326</v>
      </c>
      <c r="M48" s="272"/>
      <c r="N48" s="285"/>
      <c r="O48" s="272"/>
      <c r="P48" s="272"/>
      <c r="Q48" s="272"/>
      <c r="R48" s="272"/>
    </row>
    <row r="49" spans="1:18">
      <c r="A49" s="264" t="s">
        <v>391</v>
      </c>
      <c r="B49" s="290">
        <v>127</v>
      </c>
      <c r="C49" s="290">
        <v>0</v>
      </c>
      <c r="D49" s="290">
        <v>0</v>
      </c>
      <c r="E49" s="290">
        <v>0</v>
      </c>
      <c r="F49" s="285">
        <v>0</v>
      </c>
      <c r="G49" s="285">
        <v>0</v>
      </c>
      <c r="H49" s="285">
        <v>0</v>
      </c>
      <c r="I49" s="285">
        <v>0</v>
      </c>
      <c r="J49" s="285">
        <v>0</v>
      </c>
      <c r="K49" s="285">
        <v>0</v>
      </c>
      <c r="L49" s="285">
        <v>0</v>
      </c>
      <c r="M49" s="272"/>
      <c r="N49" s="285"/>
      <c r="O49" s="272"/>
      <c r="P49" s="272"/>
      <c r="Q49" s="272"/>
      <c r="R49" s="272"/>
    </row>
    <row r="50" spans="1:18">
      <c r="A50" s="264" t="s">
        <v>424</v>
      </c>
      <c r="B50" s="290">
        <v>332</v>
      </c>
      <c r="C50" s="290">
        <v>0</v>
      </c>
      <c r="D50" s="290">
        <v>0</v>
      </c>
      <c r="E50" s="290">
        <v>0</v>
      </c>
      <c r="F50" s="285">
        <v>0</v>
      </c>
      <c r="G50" s="285">
        <v>0</v>
      </c>
      <c r="H50" s="285">
        <v>0</v>
      </c>
      <c r="I50" s="285">
        <v>0</v>
      </c>
      <c r="J50" s="285">
        <v>0</v>
      </c>
      <c r="K50" s="285">
        <v>91</v>
      </c>
      <c r="L50" s="285">
        <v>-91</v>
      </c>
      <c r="M50" s="272"/>
      <c r="N50" s="285"/>
      <c r="O50" s="272"/>
      <c r="P50" s="272"/>
      <c r="Q50" s="272"/>
      <c r="R50" s="272"/>
    </row>
    <row r="51" spans="1:18">
      <c r="A51" s="264" t="s">
        <v>382</v>
      </c>
      <c r="B51" s="290">
        <v>0</v>
      </c>
      <c r="C51" s="290">
        <v>0</v>
      </c>
      <c r="D51" s="290">
        <v>0</v>
      </c>
      <c r="E51" s="290">
        <v>0</v>
      </c>
      <c r="F51" s="285">
        <v>0</v>
      </c>
      <c r="G51" s="285">
        <v>0</v>
      </c>
      <c r="H51" s="285">
        <v>0</v>
      </c>
      <c r="I51" s="285">
        <v>0</v>
      </c>
      <c r="J51" s="285">
        <v>0</v>
      </c>
      <c r="K51" s="285">
        <v>0</v>
      </c>
      <c r="L51" s="285">
        <v>0</v>
      </c>
      <c r="M51" s="272"/>
      <c r="N51" s="285"/>
      <c r="O51" s="272"/>
      <c r="P51" s="272"/>
      <c r="Q51" s="272"/>
      <c r="R51" s="272"/>
    </row>
    <row r="52" spans="1:18">
      <c r="A52" s="264" t="s">
        <v>10</v>
      </c>
      <c r="B52" s="290">
        <v>34</v>
      </c>
      <c r="C52" s="290">
        <v>73</v>
      </c>
      <c r="D52" s="290">
        <v>19</v>
      </c>
      <c r="E52" s="290">
        <v>204</v>
      </c>
      <c r="F52" s="285">
        <v>211</v>
      </c>
      <c r="G52" s="285">
        <v>40</v>
      </c>
      <c r="H52" s="285">
        <v>73</v>
      </c>
      <c r="I52" s="285">
        <v>5</v>
      </c>
      <c r="J52" s="285">
        <v>119</v>
      </c>
      <c r="K52" s="285">
        <v>102</v>
      </c>
      <c r="L52" s="285">
        <v>174</v>
      </c>
      <c r="M52" s="272"/>
      <c r="N52" s="285"/>
      <c r="O52" s="272"/>
      <c r="P52" s="272"/>
      <c r="Q52" s="272"/>
      <c r="R52" s="272"/>
    </row>
    <row r="53" spans="1:18">
      <c r="A53" s="260" t="s">
        <v>405</v>
      </c>
      <c r="B53" s="292">
        <v>5976</v>
      </c>
      <c r="C53" s="292">
        <v>5377</v>
      </c>
      <c r="D53" s="292">
        <v>4558</v>
      </c>
      <c r="E53" s="292">
        <v>5208</v>
      </c>
      <c r="F53" s="292">
        <v>5083</v>
      </c>
      <c r="G53" s="292">
        <v>4667</v>
      </c>
      <c r="H53" s="292">
        <v>5368</v>
      </c>
      <c r="I53" s="292">
        <v>4994</v>
      </c>
      <c r="J53" s="292">
        <v>5197</v>
      </c>
      <c r="K53" s="292">
        <v>5424</v>
      </c>
      <c r="L53" s="292">
        <v>5662</v>
      </c>
      <c r="M53" s="272"/>
      <c r="N53" s="285"/>
      <c r="O53" s="272"/>
      <c r="P53" s="272"/>
      <c r="Q53" s="272"/>
      <c r="R53" s="272"/>
    </row>
    <row r="54" spans="1:18">
      <c r="A54" s="262" t="s">
        <v>283</v>
      </c>
      <c r="B54" s="290">
        <v>-1297</v>
      </c>
      <c r="C54" s="290">
        <v>-1455</v>
      </c>
      <c r="D54" s="290">
        <v>-1066</v>
      </c>
      <c r="E54" s="290">
        <v>-1315</v>
      </c>
      <c r="F54" s="285">
        <v>-1311</v>
      </c>
      <c r="G54" s="285">
        <v>-1372</v>
      </c>
      <c r="H54" s="285">
        <v>-1152</v>
      </c>
      <c r="I54" s="285">
        <v>-1406</v>
      </c>
      <c r="J54" s="285">
        <v>-1493</v>
      </c>
      <c r="K54" s="285">
        <v>-1670</v>
      </c>
      <c r="L54" s="285">
        <v>-1569</v>
      </c>
      <c r="M54" s="272"/>
      <c r="N54" s="285"/>
      <c r="O54" s="272"/>
      <c r="P54" s="272"/>
      <c r="Q54" s="272"/>
      <c r="R54" s="272"/>
    </row>
    <row r="55" spans="1:18">
      <c r="A55" s="262" t="s">
        <v>406</v>
      </c>
      <c r="B55" s="290">
        <v>-1750</v>
      </c>
      <c r="C55" s="290">
        <v>-1878</v>
      </c>
      <c r="D55" s="290">
        <v>-1455</v>
      </c>
      <c r="E55" s="290">
        <v>-1911</v>
      </c>
      <c r="F55" s="285">
        <v>-1629</v>
      </c>
      <c r="G55" s="285">
        <v>-1640</v>
      </c>
      <c r="H55" s="285">
        <v>-1141</v>
      </c>
      <c r="I55" s="285">
        <v>-1626</v>
      </c>
      <c r="J55" s="285">
        <v>-1473</v>
      </c>
      <c r="K55" s="285">
        <v>-1842</v>
      </c>
      <c r="L55" s="285">
        <v>-1227</v>
      </c>
      <c r="M55" s="272"/>
      <c r="N55" s="285"/>
      <c r="O55" s="272"/>
      <c r="P55" s="272"/>
      <c r="Q55" s="272"/>
      <c r="R55" s="272"/>
    </row>
    <row r="56" spans="1:18">
      <c r="A56" s="262" t="s">
        <v>407</v>
      </c>
      <c r="B56" s="290">
        <v>-185</v>
      </c>
      <c r="C56" s="290">
        <v>-150</v>
      </c>
      <c r="D56" s="290">
        <v>-232</v>
      </c>
      <c r="E56" s="290">
        <v>-172</v>
      </c>
      <c r="F56" s="285">
        <v>-155</v>
      </c>
      <c r="G56" s="285">
        <v>-115</v>
      </c>
      <c r="H56" s="285">
        <v>-168</v>
      </c>
      <c r="I56" s="285">
        <v>-138</v>
      </c>
      <c r="J56" s="285">
        <v>-158</v>
      </c>
      <c r="K56" s="285">
        <v>-149</v>
      </c>
      <c r="L56" s="285">
        <v>-275</v>
      </c>
      <c r="M56" s="272"/>
      <c r="N56" s="285"/>
      <c r="O56" s="272"/>
      <c r="P56" s="272"/>
      <c r="Q56" s="272"/>
      <c r="R56" s="272"/>
    </row>
    <row r="57" spans="1:18">
      <c r="A57" s="262" t="s">
        <v>319</v>
      </c>
      <c r="B57" s="290">
        <v>-78</v>
      </c>
      <c r="C57" s="290">
        <v>449</v>
      </c>
      <c r="D57" s="290">
        <v>644</v>
      </c>
      <c r="E57" s="290">
        <v>367</v>
      </c>
      <c r="F57" s="285">
        <v>414</v>
      </c>
      <c r="G57" s="285">
        <v>714</v>
      </c>
      <c r="H57" s="285">
        <v>151</v>
      </c>
      <c r="I57" s="285">
        <v>-76</v>
      </c>
      <c r="J57" s="285">
        <v>-1903</v>
      </c>
      <c r="K57" s="285">
        <v>1922</v>
      </c>
      <c r="L57" s="285">
        <v>133</v>
      </c>
      <c r="M57" s="272"/>
      <c r="N57" s="285"/>
      <c r="O57" s="272"/>
      <c r="P57" s="272"/>
      <c r="Q57" s="272"/>
      <c r="R57" s="272"/>
    </row>
    <row r="58" spans="1:18">
      <c r="A58" s="260" t="s">
        <v>408</v>
      </c>
      <c r="B58" s="292">
        <v>2666</v>
      </c>
      <c r="C58" s="292">
        <v>2343</v>
      </c>
      <c r="D58" s="292">
        <v>2449</v>
      </c>
      <c r="E58" s="292">
        <v>2177</v>
      </c>
      <c r="F58" s="292">
        <v>2402</v>
      </c>
      <c r="G58" s="292">
        <v>2254</v>
      </c>
      <c r="H58" s="292">
        <v>3058</v>
      </c>
      <c r="I58" s="292">
        <v>1748</v>
      </c>
      <c r="J58" s="292">
        <v>170</v>
      </c>
      <c r="K58" s="292">
        <v>3685</v>
      </c>
      <c r="L58" s="292">
        <v>2724</v>
      </c>
      <c r="M58" s="272"/>
      <c r="N58" s="285"/>
      <c r="O58" s="272"/>
      <c r="P58" s="272"/>
      <c r="Q58" s="272"/>
      <c r="R58" s="272"/>
    </row>
    <row r="59" spans="1:18" ht="4.9000000000000004" customHeight="1">
      <c r="A59" s="277"/>
      <c r="B59" s="290"/>
      <c r="C59" s="290"/>
      <c r="D59" s="290"/>
      <c r="E59" s="290"/>
      <c r="F59" s="285"/>
      <c r="G59" s="285"/>
      <c r="H59" s="285"/>
      <c r="I59" s="285"/>
      <c r="J59" s="285"/>
      <c r="K59" s="285"/>
      <c r="L59" s="285"/>
      <c r="N59" s="285"/>
      <c r="O59" s="272"/>
      <c r="P59" s="272"/>
      <c r="Q59" s="272"/>
      <c r="R59" s="272"/>
    </row>
    <row r="60" spans="1:18">
      <c r="A60" s="260" t="s">
        <v>15</v>
      </c>
      <c r="B60" s="290">
        <v>608236</v>
      </c>
      <c r="C60" s="290">
        <v>574849</v>
      </c>
      <c r="D60" s="290">
        <v>574849</v>
      </c>
      <c r="E60" s="290">
        <v>555128</v>
      </c>
      <c r="F60" s="285">
        <v>534332</v>
      </c>
      <c r="G60" s="285">
        <v>518312</v>
      </c>
      <c r="H60" s="285">
        <v>501186</v>
      </c>
      <c r="I60" s="285">
        <v>485324</v>
      </c>
      <c r="J60" s="285">
        <v>474471</v>
      </c>
      <c r="K60" s="285">
        <v>475199</v>
      </c>
      <c r="L60" s="285">
        <v>536349</v>
      </c>
      <c r="N60" s="285"/>
      <c r="O60" s="272"/>
      <c r="Q60" s="272"/>
      <c r="R60" s="272"/>
    </row>
    <row r="61" spans="1:18">
      <c r="A61" s="260" t="s">
        <v>368</v>
      </c>
      <c r="B61" s="292">
        <v>551047</v>
      </c>
      <c r="C61" s="292">
        <v>527652</v>
      </c>
      <c r="D61" s="292">
        <v>527652</v>
      </c>
      <c r="E61" s="292">
        <v>507218</v>
      </c>
      <c r="F61" s="292">
        <v>490527</v>
      </c>
      <c r="G61" s="292">
        <v>474508</v>
      </c>
      <c r="H61" s="292">
        <v>445274</v>
      </c>
      <c r="I61" s="292">
        <v>442123</v>
      </c>
      <c r="J61" s="292">
        <v>416769</v>
      </c>
      <c r="K61" s="292">
        <v>416197</v>
      </c>
      <c r="L61" s="292">
        <v>472222</v>
      </c>
      <c r="N61" s="285"/>
      <c r="O61" s="272"/>
      <c r="Q61" s="272"/>
      <c r="R61" s="272"/>
    </row>
    <row r="62" spans="1:18">
      <c r="A62" s="260" t="s">
        <v>415</v>
      </c>
      <c r="B62" s="292">
        <v>57189</v>
      </c>
      <c r="C62" s="292">
        <v>47197</v>
      </c>
      <c r="D62" s="292">
        <v>47197</v>
      </c>
      <c r="E62" s="292">
        <v>47910</v>
      </c>
      <c r="F62" s="292">
        <v>43805</v>
      </c>
      <c r="G62" s="292">
        <v>43805</v>
      </c>
      <c r="H62" s="292">
        <v>55912</v>
      </c>
      <c r="I62" s="292">
        <v>43201</v>
      </c>
      <c r="J62" s="292">
        <v>57702</v>
      </c>
      <c r="K62" s="292">
        <v>59002</v>
      </c>
      <c r="L62" s="292">
        <v>64127</v>
      </c>
      <c r="N62" s="285"/>
      <c r="O62" s="272"/>
      <c r="Q62" s="272"/>
      <c r="R62" s="272"/>
    </row>
    <row r="63" spans="1:18" ht="1.5" customHeight="1">
      <c r="A63" s="260"/>
      <c r="B63" s="292"/>
      <c r="C63" s="292"/>
      <c r="D63" s="292"/>
      <c r="E63" s="292"/>
      <c r="F63" s="292"/>
      <c r="G63" s="292"/>
      <c r="H63" s="292"/>
      <c r="I63" s="292"/>
      <c r="J63" s="292"/>
      <c r="K63" s="292"/>
      <c r="L63" s="292"/>
      <c r="N63" s="285"/>
      <c r="O63" s="272"/>
      <c r="P63" s="272"/>
      <c r="Q63" s="272"/>
      <c r="R63" s="272"/>
    </row>
    <row r="64" spans="1:18">
      <c r="A64" s="277"/>
      <c r="B64" s="290"/>
      <c r="C64" s="290"/>
      <c r="D64" s="290"/>
      <c r="E64" s="290"/>
      <c r="F64" s="285"/>
      <c r="G64" s="285"/>
      <c r="H64" s="285"/>
      <c r="I64" s="285"/>
      <c r="J64" s="285"/>
      <c r="K64" s="285"/>
      <c r="L64" s="285"/>
      <c r="N64" s="285"/>
      <c r="O64" s="272"/>
      <c r="P64" s="272"/>
      <c r="Q64" s="272"/>
      <c r="R64" s="272"/>
    </row>
    <row r="65" spans="1:18" ht="15.75">
      <c r="A65" s="328" t="s">
        <v>416</v>
      </c>
      <c r="C65" s="334"/>
      <c r="D65" s="334"/>
      <c r="E65" s="334"/>
      <c r="F65" s="259"/>
      <c r="G65" s="259"/>
      <c r="H65" s="259"/>
      <c r="I65" s="259"/>
      <c r="J65" s="259"/>
      <c r="K65" s="259"/>
      <c r="L65" s="259"/>
      <c r="N65" s="259"/>
      <c r="O65" s="272"/>
      <c r="P65" s="272"/>
      <c r="Q65" s="272"/>
      <c r="R65" s="272"/>
    </row>
    <row r="66" spans="1:18" ht="6" customHeight="1">
      <c r="C66" s="280"/>
      <c r="D66" s="280"/>
      <c r="E66" s="280"/>
      <c r="F66" s="280"/>
      <c r="G66" s="280"/>
      <c r="H66" s="280"/>
      <c r="I66" s="280"/>
      <c r="J66" s="318"/>
      <c r="K66" s="318"/>
      <c r="L66" s="280"/>
      <c r="N66" s="320"/>
      <c r="O66" s="272"/>
      <c r="P66" s="272"/>
      <c r="Q66" s="272"/>
      <c r="R66" s="272"/>
    </row>
    <row r="67" spans="1:18">
      <c r="A67" s="262" t="s">
        <v>0</v>
      </c>
      <c r="B67" s="290">
        <v>96</v>
      </c>
      <c r="C67" s="290">
        <v>84</v>
      </c>
      <c r="D67" s="290">
        <v>863</v>
      </c>
      <c r="E67" s="290">
        <v>997</v>
      </c>
      <c r="F67" s="285">
        <v>709</v>
      </c>
      <c r="G67" s="285">
        <v>1437</v>
      </c>
      <c r="H67" s="285">
        <v>1166</v>
      </c>
      <c r="I67" s="285">
        <v>1180</v>
      </c>
      <c r="J67" s="285">
        <v>848</v>
      </c>
      <c r="K67" s="285">
        <v>1201</v>
      </c>
      <c r="L67" s="285">
        <v>783</v>
      </c>
      <c r="M67" s="272"/>
      <c r="N67" s="285"/>
      <c r="O67" s="272"/>
      <c r="P67" s="272"/>
      <c r="Q67" s="272"/>
      <c r="R67" s="272"/>
    </row>
    <row r="68" spans="1:18">
      <c r="A68" s="264" t="s">
        <v>316</v>
      </c>
      <c r="B68" s="290">
        <v>150</v>
      </c>
      <c r="C68" s="290">
        <v>164</v>
      </c>
      <c r="D68" s="290">
        <v>128</v>
      </c>
      <c r="E68" s="290">
        <v>157</v>
      </c>
      <c r="F68" s="285">
        <v>165</v>
      </c>
      <c r="G68" s="285">
        <v>160</v>
      </c>
      <c r="H68" s="285">
        <v>153</v>
      </c>
      <c r="I68" s="285">
        <v>141</v>
      </c>
      <c r="J68" s="285">
        <v>96</v>
      </c>
      <c r="K68" s="285">
        <v>55</v>
      </c>
      <c r="L68" s="285">
        <v>-50</v>
      </c>
      <c r="M68" s="272"/>
      <c r="N68" s="285"/>
      <c r="O68" s="272"/>
      <c r="P68" s="272"/>
      <c r="Q68" s="272"/>
      <c r="R68" s="272"/>
    </row>
    <row r="69" spans="1:18">
      <c r="A69" s="264" t="s">
        <v>391</v>
      </c>
      <c r="B69" s="290">
        <v>0</v>
      </c>
      <c r="C69" s="290">
        <v>0</v>
      </c>
      <c r="D69" s="290">
        <v>0</v>
      </c>
      <c r="E69" s="290">
        <v>0</v>
      </c>
      <c r="F69" s="285">
        <v>0</v>
      </c>
      <c r="G69" s="285">
        <v>0</v>
      </c>
      <c r="H69" s="285">
        <v>0</v>
      </c>
      <c r="I69" s="285">
        <v>0</v>
      </c>
      <c r="J69" s="285">
        <v>0</v>
      </c>
      <c r="K69" s="285">
        <v>0</v>
      </c>
      <c r="L69" s="285">
        <v>0</v>
      </c>
      <c r="M69" s="272"/>
      <c r="N69" s="285"/>
      <c r="O69" s="272"/>
      <c r="P69" s="272"/>
      <c r="Q69" s="272"/>
      <c r="R69" s="272"/>
    </row>
    <row r="70" spans="1:18">
      <c r="A70" s="264" t="s">
        <v>424</v>
      </c>
      <c r="B70" s="290">
        <v>611</v>
      </c>
      <c r="C70" s="290">
        <v>596</v>
      </c>
      <c r="D70" s="290">
        <v>115</v>
      </c>
      <c r="E70" s="290">
        <v>1218</v>
      </c>
      <c r="F70" s="285">
        <v>1019</v>
      </c>
      <c r="G70" s="285">
        <v>555</v>
      </c>
      <c r="H70" s="285">
        <v>467</v>
      </c>
      <c r="I70" s="285">
        <v>1353</v>
      </c>
      <c r="J70" s="285">
        <v>-1411</v>
      </c>
      <c r="K70" s="285">
        <v>-2</v>
      </c>
      <c r="L70" s="285">
        <v>718</v>
      </c>
      <c r="M70" s="272"/>
      <c r="N70" s="285"/>
      <c r="O70" s="272"/>
      <c r="P70" s="272"/>
      <c r="Q70" s="272"/>
      <c r="R70" s="272"/>
    </row>
    <row r="71" spans="1:18">
      <c r="A71" s="264" t="s">
        <v>382</v>
      </c>
      <c r="B71" s="290">
        <v>0</v>
      </c>
      <c r="C71" s="290">
        <v>0</v>
      </c>
      <c r="D71" s="290">
        <v>0</v>
      </c>
      <c r="E71" s="290">
        <v>0</v>
      </c>
      <c r="F71" s="285">
        <v>0</v>
      </c>
      <c r="G71" s="285">
        <v>0</v>
      </c>
      <c r="H71" s="285">
        <v>0</v>
      </c>
      <c r="I71" s="285">
        <v>0</v>
      </c>
      <c r="J71" s="285">
        <v>0</v>
      </c>
      <c r="K71" s="285">
        <v>0</v>
      </c>
      <c r="L71" s="285">
        <v>0</v>
      </c>
      <c r="M71" s="272"/>
      <c r="N71" s="285"/>
      <c r="O71" s="272"/>
      <c r="P71" s="272"/>
      <c r="Q71" s="272"/>
      <c r="R71" s="272"/>
    </row>
    <row r="72" spans="1:18">
      <c r="A72" s="264" t="s">
        <v>10</v>
      </c>
      <c r="B72" s="290">
        <v>-1</v>
      </c>
      <c r="C72" s="290">
        <v>13</v>
      </c>
      <c r="D72" s="290">
        <v>15</v>
      </c>
      <c r="E72" s="290">
        <v>17</v>
      </c>
      <c r="F72" s="285">
        <v>-2</v>
      </c>
      <c r="G72" s="285">
        <v>0</v>
      </c>
      <c r="H72" s="285">
        <v>0</v>
      </c>
      <c r="I72" s="285">
        <v>0</v>
      </c>
      <c r="J72" s="285">
        <v>0</v>
      </c>
      <c r="K72" s="285">
        <v>5</v>
      </c>
      <c r="L72" s="285">
        <v>0</v>
      </c>
      <c r="M72" s="272"/>
      <c r="N72" s="285"/>
      <c r="O72" s="272"/>
      <c r="P72" s="272"/>
      <c r="Q72" s="272"/>
      <c r="R72" s="272"/>
    </row>
    <row r="73" spans="1:18">
      <c r="A73" s="260" t="s">
        <v>422</v>
      </c>
      <c r="B73" s="292">
        <v>856</v>
      </c>
      <c r="C73" s="292">
        <v>857</v>
      </c>
      <c r="D73" s="292">
        <v>1121</v>
      </c>
      <c r="E73" s="292">
        <v>2389</v>
      </c>
      <c r="F73" s="292">
        <v>1891</v>
      </c>
      <c r="G73" s="292">
        <v>2152</v>
      </c>
      <c r="H73" s="292">
        <v>1786</v>
      </c>
      <c r="I73" s="292">
        <v>2674</v>
      </c>
      <c r="J73" s="292">
        <v>-467</v>
      </c>
      <c r="K73" s="292">
        <v>1259</v>
      </c>
      <c r="L73" s="292">
        <v>1451</v>
      </c>
      <c r="M73" s="272"/>
      <c r="N73" s="285"/>
      <c r="O73" s="272"/>
      <c r="P73" s="272"/>
      <c r="Q73" s="272"/>
      <c r="R73" s="272"/>
    </row>
    <row r="74" spans="1:18">
      <c r="A74" s="264" t="s">
        <v>421</v>
      </c>
      <c r="B74" s="290">
        <v>-152</v>
      </c>
      <c r="C74" s="290">
        <v>-211</v>
      </c>
      <c r="D74" s="290">
        <v>-142</v>
      </c>
      <c r="E74" s="290">
        <v>-109</v>
      </c>
      <c r="F74" s="285">
        <v>-143</v>
      </c>
      <c r="G74" s="285">
        <v>-161</v>
      </c>
      <c r="H74" s="285">
        <v>-114</v>
      </c>
      <c r="I74" s="285">
        <v>-148</v>
      </c>
      <c r="J74" s="285">
        <v>-185</v>
      </c>
      <c r="K74" s="285">
        <v>-140</v>
      </c>
      <c r="L74" s="285">
        <v>-91</v>
      </c>
      <c r="M74" s="272"/>
      <c r="N74" s="285"/>
      <c r="O74" s="272"/>
      <c r="P74" s="272"/>
      <c r="Q74" s="272"/>
      <c r="R74" s="272"/>
    </row>
    <row r="75" spans="1:18">
      <c r="A75" s="262" t="s">
        <v>406</v>
      </c>
      <c r="B75" s="290">
        <v>-284</v>
      </c>
      <c r="C75" s="290">
        <v>-293</v>
      </c>
      <c r="D75" s="290">
        <v>-236</v>
      </c>
      <c r="E75" s="290">
        <v>-271</v>
      </c>
      <c r="F75" s="285">
        <v>-236</v>
      </c>
      <c r="G75" s="285">
        <v>-469</v>
      </c>
      <c r="H75" s="285">
        <v>-222</v>
      </c>
      <c r="I75" s="285">
        <v>-225</v>
      </c>
      <c r="J75" s="285">
        <v>-211</v>
      </c>
      <c r="K75" s="285">
        <v>-260</v>
      </c>
      <c r="L75" s="285">
        <v>-213</v>
      </c>
      <c r="M75" s="272"/>
      <c r="N75" s="285"/>
      <c r="O75" s="272"/>
      <c r="P75" s="272"/>
      <c r="Q75" s="272"/>
      <c r="R75" s="272"/>
    </row>
    <row r="76" spans="1:18">
      <c r="A76" s="262" t="s">
        <v>407</v>
      </c>
      <c r="B76" s="290">
        <v>-72</v>
      </c>
      <c r="C76" s="290">
        <v>-81</v>
      </c>
      <c r="D76" s="290">
        <v>-90</v>
      </c>
      <c r="E76" s="290">
        <v>-64</v>
      </c>
      <c r="F76" s="285">
        <v>-68</v>
      </c>
      <c r="G76" s="285">
        <v>-67</v>
      </c>
      <c r="H76" s="285">
        <v>-94</v>
      </c>
      <c r="I76" s="285">
        <v>-81</v>
      </c>
      <c r="J76" s="285">
        <v>-58</v>
      </c>
      <c r="K76" s="285">
        <v>-98</v>
      </c>
      <c r="L76" s="285">
        <v>-292</v>
      </c>
      <c r="M76" s="272"/>
      <c r="N76" s="285"/>
      <c r="O76" s="272"/>
      <c r="P76" s="272"/>
      <c r="Q76" s="272"/>
      <c r="R76" s="272"/>
    </row>
    <row r="77" spans="1:18">
      <c r="A77" s="262" t="s">
        <v>319</v>
      </c>
      <c r="B77" s="290">
        <v>-2</v>
      </c>
      <c r="C77" s="290">
        <v>1</v>
      </c>
      <c r="D77" s="290">
        <v>4</v>
      </c>
      <c r="E77" s="290">
        <v>-5</v>
      </c>
      <c r="F77" s="285">
        <v>2</v>
      </c>
      <c r="G77" s="285">
        <v>-11</v>
      </c>
      <c r="H77" s="285">
        <v>-10</v>
      </c>
      <c r="I77" s="285">
        <v>13</v>
      </c>
      <c r="J77" s="285">
        <v>4</v>
      </c>
      <c r="K77" s="285">
        <v>-11</v>
      </c>
      <c r="L77" s="285">
        <v>0</v>
      </c>
      <c r="M77" s="272"/>
      <c r="N77" s="285"/>
      <c r="O77" s="272"/>
      <c r="P77" s="272"/>
      <c r="Q77" s="272"/>
      <c r="R77" s="272"/>
    </row>
    <row r="78" spans="1:18">
      <c r="A78" s="260" t="s">
        <v>423</v>
      </c>
      <c r="B78" s="292">
        <v>346</v>
      </c>
      <c r="C78" s="292">
        <v>273</v>
      </c>
      <c r="D78" s="292">
        <v>657</v>
      </c>
      <c r="E78" s="292">
        <v>1940</v>
      </c>
      <c r="F78" s="292">
        <v>1446</v>
      </c>
      <c r="G78" s="292">
        <v>1444</v>
      </c>
      <c r="H78" s="292">
        <v>1346</v>
      </c>
      <c r="I78" s="292">
        <v>2233</v>
      </c>
      <c r="J78" s="292">
        <v>-917</v>
      </c>
      <c r="K78" s="292">
        <v>750</v>
      </c>
      <c r="L78" s="292">
        <v>855</v>
      </c>
      <c r="M78" s="272"/>
      <c r="N78" s="285"/>
      <c r="O78" s="272"/>
      <c r="P78" s="272"/>
      <c r="Q78" s="272"/>
      <c r="R78" s="272"/>
    </row>
    <row r="79" spans="1:18" ht="4.9000000000000004" customHeight="1">
      <c r="A79" s="277"/>
      <c r="B79" s="290"/>
      <c r="C79" s="290"/>
      <c r="D79" s="290"/>
      <c r="E79" s="290"/>
      <c r="F79" s="285"/>
      <c r="G79" s="285"/>
      <c r="H79" s="285"/>
      <c r="I79" s="285"/>
      <c r="J79" s="285"/>
      <c r="K79" s="285"/>
      <c r="L79" s="285"/>
      <c r="N79" s="285"/>
      <c r="O79" s="272"/>
      <c r="P79" s="272"/>
      <c r="Q79" s="272"/>
      <c r="R79" s="272"/>
    </row>
    <row r="80" spans="1:18">
      <c r="A80" s="260" t="s">
        <v>15</v>
      </c>
      <c r="B80" s="290">
        <v>537509</v>
      </c>
      <c r="C80" s="290">
        <v>499348</v>
      </c>
      <c r="D80" s="290">
        <v>499348</v>
      </c>
      <c r="E80" s="290">
        <v>447808</v>
      </c>
      <c r="F80" s="285">
        <v>445873</v>
      </c>
      <c r="G80" s="285">
        <v>467489</v>
      </c>
      <c r="H80" s="285">
        <v>502387</v>
      </c>
      <c r="I80" s="285">
        <v>491031</v>
      </c>
      <c r="J80" s="285">
        <v>480872</v>
      </c>
      <c r="K80" s="285">
        <v>457579</v>
      </c>
      <c r="L80" s="285">
        <v>558263</v>
      </c>
      <c r="N80" s="285"/>
      <c r="O80" s="272"/>
      <c r="Q80" s="272"/>
      <c r="R80" s="272"/>
    </row>
    <row r="81" spans="1:18">
      <c r="A81" s="260" t="s">
        <v>368</v>
      </c>
      <c r="B81" s="292">
        <v>485333</v>
      </c>
      <c r="C81" s="292">
        <v>451638</v>
      </c>
      <c r="D81" s="292">
        <v>451638</v>
      </c>
      <c r="E81" s="292">
        <v>399232</v>
      </c>
      <c r="F81" s="292">
        <v>401046</v>
      </c>
      <c r="G81" s="292">
        <v>413894</v>
      </c>
      <c r="H81" s="292">
        <v>481934</v>
      </c>
      <c r="I81" s="292">
        <v>441285</v>
      </c>
      <c r="J81" s="292">
        <v>470028</v>
      </c>
      <c r="K81" s="292">
        <v>436229</v>
      </c>
      <c r="L81" s="292">
        <v>548213</v>
      </c>
      <c r="N81" s="285"/>
      <c r="O81" s="272"/>
      <c r="Q81" s="272"/>
      <c r="R81" s="272"/>
    </row>
    <row r="82" spans="1:18">
      <c r="A82" s="260" t="s">
        <v>415</v>
      </c>
      <c r="B82" s="292">
        <v>52176</v>
      </c>
      <c r="C82" s="292">
        <v>47710</v>
      </c>
      <c r="D82" s="292">
        <v>47710</v>
      </c>
      <c r="E82" s="292">
        <v>48576</v>
      </c>
      <c r="F82" s="292">
        <v>44827</v>
      </c>
      <c r="G82" s="292">
        <v>53594</v>
      </c>
      <c r="H82" s="292">
        <v>20453</v>
      </c>
      <c r="I82" s="292">
        <v>49746</v>
      </c>
      <c r="J82" s="292">
        <v>10844</v>
      </c>
      <c r="K82" s="292">
        <v>21350</v>
      </c>
      <c r="L82" s="292">
        <v>10050</v>
      </c>
      <c r="N82" s="285"/>
      <c r="O82" s="272"/>
      <c r="Q82" s="272"/>
      <c r="R82" s="272"/>
    </row>
    <row r="83" spans="1:18" ht="1.5" customHeight="1">
      <c r="A83" s="260"/>
      <c r="B83" s="292"/>
      <c r="C83" s="292"/>
      <c r="D83" s="292"/>
      <c r="E83" s="292"/>
      <c r="F83" s="292"/>
      <c r="G83" s="292"/>
      <c r="H83" s="292"/>
      <c r="I83" s="292"/>
      <c r="J83" s="292"/>
      <c r="K83" s="292"/>
      <c r="L83" s="292"/>
      <c r="N83" s="285"/>
      <c r="O83" s="272"/>
      <c r="P83" s="272"/>
      <c r="Q83" s="272"/>
      <c r="R83" s="272"/>
    </row>
    <row r="84" spans="1:18">
      <c r="A84" s="338" t="s">
        <v>454</v>
      </c>
      <c r="B84" s="302"/>
      <c r="C84" s="302"/>
      <c r="D84" s="302"/>
      <c r="E84" s="302"/>
      <c r="F84" s="302"/>
      <c r="G84" s="302"/>
      <c r="H84" s="302"/>
      <c r="I84" s="302"/>
      <c r="J84" s="302"/>
      <c r="K84" s="302"/>
      <c r="L84" s="302"/>
      <c r="N84" s="285"/>
      <c r="O84" s="272"/>
      <c r="Q84" s="272"/>
      <c r="R84" s="272"/>
    </row>
    <row r="85" spans="1:18" ht="15.75">
      <c r="A85" s="328" t="s">
        <v>451</v>
      </c>
      <c r="B85" s="290"/>
      <c r="C85" s="328"/>
      <c r="D85" s="334"/>
      <c r="E85" s="259"/>
      <c r="F85" s="259"/>
      <c r="G85" s="259"/>
      <c r="H85" s="259"/>
      <c r="I85" s="259"/>
      <c r="J85" s="259"/>
      <c r="K85" s="259"/>
      <c r="L85" s="259"/>
      <c r="N85" s="285"/>
      <c r="O85" s="272"/>
      <c r="P85" s="272"/>
      <c r="Q85" s="272"/>
      <c r="R85" s="272"/>
    </row>
    <row r="86" spans="1:18" ht="6" customHeight="1">
      <c r="D86" s="280"/>
      <c r="E86" s="280"/>
      <c r="F86" s="280"/>
      <c r="G86" s="280"/>
      <c r="H86" s="280"/>
      <c r="I86" s="318"/>
      <c r="J86" s="318"/>
      <c r="K86" s="280"/>
      <c r="L86" s="280"/>
      <c r="N86" s="320"/>
      <c r="O86" s="272"/>
      <c r="P86" s="272"/>
      <c r="Q86" s="272"/>
      <c r="R86" s="272"/>
    </row>
    <row r="87" spans="1:18">
      <c r="A87" s="262" t="s">
        <v>0</v>
      </c>
      <c r="B87" s="290">
        <v>0</v>
      </c>
      <c r="C87" s="290">
        <v>17</v>
      </c>
      <c r="D87" s="290">
        <v>29</v>
      </c>
      <c r="E87" s="290">
        <v>12</v>
      </c>
      <c r="F87" s="285">
        <v>26</v>
      </c>
      <c r="G87" s="285">
        <v>36</v>
      </c>
      <c r="H87" s="285">
        <v>44</v>
      </c>
      <c r="I87" s="285">
        <v>45</v>
      </c>
      <c r="J87" s="285">
        <v>47</v>
      </c>
      <c r="K87" s="285">
        <v>68</v>
      </c>
      <c r="L87" s="285">
        <v>57</v>
      </c>
      <c r="M87" s="272"/>
      <c r="O87" s="272"/>
      <c r="P87" s="272"/>
      <c r="Q87" s="272"/>
      <c r="R87" s="272"/>
    </row>
    <row r="88" spans="1:18">
      <c r="A88" s="264" t="s">
        <v>419</v>
      </c>
      <c r="B88" s="290">
        <v>0</v>
      </c>
      <c r="C88" s="290">
        <v>-36</v>
      </c>
      <c r="D88" s="290">
        <v>-22</v>
      </c>
      <c r="E88" s="290">
        <v>-49</v>
      </c>
      <c r="F88" s="285">
        <v>-72</v>
      </c>
      <c r="G88" s="285">
        <v>-43</v>
      </c>
      <c r="H88" s="285">
        <v>-37</v>
      </c>
      <c r="I88" s="285">
        <v>-50</v>
      </c>
      <c r="J88" s="285">
        <v>-41</v>
      </c>
      <c r="K88" s="285">
        <v>-31</v>
      </c>
      <c r="L88" s="285">
        <v>-18</v>
      </c>
      <c r="M88" s="272"/>
      <c r="O88" s="272"/>
      <c r="P88" s="272"/>
      <c r="Q88" s="272"/>
      <c r="R88" s="272"/>
    </row>
    <row r="89" spans="1:18">
      <c r="A89" s="264" t="s">
        <v>391</v>
      </c>
      <c r="B89" s="290">
        <v>0</v>
      </c>
      <c r="C89" s="290">
        <v>870</v>
      </c>
      <c r="D89" s="290">
        <v>998</v>
      </c>
      <c r="E89" s="290">
        <v>919</v>
      </c>
      <c r="F89" s="285">
        <v>717</v>
      </c>
      <c r="G89" s="285">
        <v>774</v>
      </c>
      <c r="H89" s="285">
        <v>1053</v>
      </c>
      <c r="I89" s="285">
        <v>795</v>
      </c>
      <c r="J89" s="285">
        <v>523</v>
      </c>
      <c r="K89" s="285">
        <v>730</v>
      </c>
      <c r="L89" s="285">
        <v>1093</v>
      </c>
      <c r="M89" s="272"/>
      <c r="O89" s="272"/>
      <c r="P89" s="272"/>
      <c r="Q89" s="272"/>
      <c r="R89" s="272"/>
    </row>
    <row r="90" spans="1:18">
      <c r="A90" s="264" t="s">
        <v>2</v>
      </c>
      <c r="B90" s="290">
        <v>0</v>
      </c>
      <c r="C90" s="290">
        <v>556</v>
      </c>
      <c r="D90" s="290">
        <v>623</v>
      </c>
      <c r="E90" s="290">
        <v>630</v>
      </c>
      <c r="F90" s="285">
        <v>316</v>
      </c>
      <c r="G90" s="285">
        <v>607</v>
      </c>
      <c r="H90" s="285">
        <v>244</v>
      </c>
      <c r="I90" s="285">
        <v>754</v>
      </c>
      <c r="J90" s="285">
        <v>130</v>
      </c>
      <c r="K90" s="285">
        <v>222</v>
      </c>
      <c r="L90" s="285">
        <v>35</v>
      </c>
      <c r="M90" s="272"/>
      <c r="O90" s="272"/>
      <c r="P90" s="272"/>
      <c r="Q90" s="272"/>
      <c r="R90" s="272"/>
    </row>
    <row r="91" spans="1:18">
      <c r="A91" s="264" t="s">
        <v>382</v>
      </c>
      <c r="B91" s="290">
        <v>0</v>
      </c>
      <c r="C91" s="290">
        <v>0</v>
      </c>
      <c r="D91" s="290">
        <v>0</v>
      </c>
      <c r="E91" s="290">
        <v>0</v>
      </c>
      <c r="F91" s="285">
        <v>0</v>
      </c>
      <c r="G91" s="285">
        <v>0</v>
      </c>
      <c r="H91" s="285">
        <v>0</v>
      </c>
      <c r="I91" s="285">
        <v>0</v>
      </c>
      <c r="J91" s="285">
        <v>0</v>
      </c>
      <c r="K91" s="285">
        <v>0</v>
      </c>
      <c r="L91" s="285">
        <v>0</v>
      </c>
      <c r="M91" s="272"/>
      <c r="O91" s="272"/>
      <c r="P91" s="272"/>
      <c r="Q91" s="272"/>
      <c r="R91" s="272"/>
    </row>
    <row r="92" spans="1:18">
      <c r="A92" s="264" t="s">
        <v>10</v>
      </c>
      <c r="B92" s="290">
        <v>0</v>
      </c>
      <c r="C92" s="290">
        <v>9</v>
      </c>
      <c r="D92" s="290">
        <v>8</v>
      </c>
      <c r="E92" s="290">
        <v>8</v>
      </c>
      <c r="F92" s="285">
        <v>8</v>
      </c>
      <c r="G92" s="285">
        <v>-17</v>
      </c>
      <c r="H92" s="285">
        <v>2</v>
      </c>
      <c r="I92" s="285">
        <v>1</v>
      </c>
      <c r="J92" s="285">
        <v>2</v>
      </c>
      <c r="K92" s="285">
        <v>7</v>
      </c>
      <c r="L92" s="285">
        <v>2</v>
      </c>
      <c r="M92" s="272"/>
      <c r="O92" s="272"/>
      <c r="P92" s="272"/>
      <c r="Q92" s="272"/>
      <c r="R92" s="272"/>
    </row>
    <row r="93" spans="1:18">
      <c r="A93" s="260" t="s">
        <v>405</v>
      </c>
      <c r="B93" s="292">
        <v>0</v>
      </c>
      <c r="C93" s="292">
        <v>1416</v>
      </c>
      <c r="D93" s="292">
        <v>1636</v>
      </c>
      <c r="E93" s="292">
        <v>1520</v>
      </c>
      <c r="F93" s="292">
        <v>995</v>
      </c>
      <c r="G93" s="292">
        <v>1357</v>
      </c>
      <c r="H93" s="292">
        <v>1306</v>
      </c>
      <c r="I93" s="292">
        <v>1545</v>
      </c>
      <c r="J93" s="292">
        <v>661</v>
      </c>
      <c r="K93" s="292">
        <v>996</v>
      </c>
      <c r="L93" s="292">
        <v>1169</v>
      </c>
      <c r="M93" s="272"/>
      <c r="O93" s="272"/>
      <c r="P93" s="272"/>
      <c r="Q93" s="272"/>
      <c r="R93" s="272"/>
    </row>
    <row r="94" spans="1:18">
      <c r="A94" s="262" t="s">
        <v>283</v>
      </c>
      <c r="B94" s="290">
        <v>0</v>
      </c>
      <c r="C94" s="290">
        <v>-803</v>
      </c>
      <c r="D94" s="290">
        <v>-521</v>
      </c>
      <c r="E94" s="290">
        <v>-637</v>
      </c>
      <c r="F94" s="285">
        <v>-630</v>
      </c>
      <c r="G94" s="285">
        <v>-665</v>
      </c>
      <c r="H94" s="285">
        <v>-503</v>
      </c>
      <c r="I94" s="285">
        <v>-645</v>
      </c>
      <c r="J94" s="285">
        <v>-636</v>
      </c>
      <c r="K94" s="285">
        <v>-579</v>
      </c>
      <c r="L94" s="285">
        <v>-528</v>
      </c>
      <c r="M94" s="272"/>
      <c r="O94" s="272"/>
      <c r="P94" s="272"/>
      <c r="Q94" s="272"/>
      <c r="R94" s="272"/>
    </row>
    <row r="95" spans="1:18">
      <c r="A95" s="262" t="s">
        <v>406</v>
      </c>
      <c r="B95" s="290">
        <v>0</v>
      </c>
      <c r="C95" s="290">
        <v>-2</v>
      </c>
      <c r="D95" s="290">
        <v>-2</v>
      </c>
      <c r="E95" s="290">
        <v>-3</v>
      </c>
      <c r="F95" s="285">
        <v>-8</v>
      </c>
      <c r="G95" s="285">
        <v>0</v>
      </c>
      <c r="H95" s="285">
        <v>-12</v>
      </c>
      <c r="I95" s="285">
        <v>3</v>
      </c>
      <c r="J95" s="285">
        <v>-12</v>
      </c>
      <c r="K95" s="285">
        <v>-7</v>
      </c>
      <c r="L95" s="285">
        <v>-1</v>
      </c>
      <c r="M95" s="272"/>
      <c r="O95" s="272"/>
      <c r="P95" s="272"/>
      <c r="Q95" s="272"/>
      <c r="R95" s="272"/>
    </row>
    <row r="96" spans="1:18">
      <c r="A96" s="262" t="s">
        <v>407</v>
      </c>
      <c r="B96" s="290">
        <v>0</v>
      </c>
      <c r="C96" s="290">
        <v>0</v>
      </c>
      <c r="D96" s="290">
        <v>0</v>
      </c>
      <c r="E96" s="290">
        <v>0</v>
      </c>
      <c r="F96" s="285">
        <v>0</v>
      </c>
      <c r="G96" s="285">
        <v>0</v>
      </c>
      <c r="H96" s="285">
        <v>0</v>
      </c>
      <c r="I96" s="285">
        <v>0</v>
      </c>
      <c r="J96" s="285">
        <v>0</v>
      </c>
      <c r="K96" s="285">
        <v>0</v>
      </c>
      <c r="L96" s="285">
        <v>0</v>
      </c>
      <c r="M96" s="272"/>
      <c r="O96" s="272"/>
      <c r="P96" s="272"/>
      <c r="Q96" s="272"/>
      <c r="R96" s="272"/>
    </row>
    <row r="97" spans="1:18">
      <c r="A97" s="262" t="s">
        <v>319</v>
      </c>
      <c r="B97" s="290">
        <v>0</v>
      </c>
      <c r="C97" s="290">
        <v>0</v>
      </c>
      <c r="D97" s="290">
        <v>0</v>
      </c>
      <c r="E97" s="290">
        <v>0</v>
      </c>
      <c r="F97" s="285">
        <v>0</v>
      </c>
      <c r="G97" s="285">
        <v>0</v>
      </c>
      <c r="H97" s="285">
        <v>0</v>
      </c>
      <c r="I97" s="285">
        <v>0</v>
      </c>
      <c r="J97" s="285">
        <v>0</v>
      </c>
      <c r="K97" s="285">
        <v>0</v>
      </c>
      <c r="L97" s="285">
        <v>0</v>
      </c>
      <c r="M97" s="272"/>
      <c r="O97" s="272"/>
      <c r="P97" s="272"/>
      <c r="Q97" s="272"/>
      <c r="R97" s="272"/>
    </row>
    <row r="98" spans="1:18">
      <c r="A98" s="260" t="s">
        <v>408</v>
      </c>
      <c r="B98" s="292">
        <v>0</v>
      </c>
      <c r="C98" s="292">
        <v>611</v>
      </c>
      <c r="D98" s="292">
        <v>1113</v>
      </c>
      <c r="E98" s="292">
        <v>880</v>
      </c>
      <c r="F98" s="292">
        <v>357</v>
      </c>
      <c r="G98" s="292">
        <v>692</v>
      </c>
      <c r="H98" s="292">
        <v>791</v>
      </c>
      <c r="I98" s="292">
        <v>903</v>
      </c>
      <c r="J98" s="292">
        <v>13</v>
      </c>
      <c r="K98" s="292">
        <v>410</v>
      </c>
      <c r="L98" s="292">
        <v>640</v>
      </c>
      <c r="M98" s="272"/>
      <c r="O98" s="272"/>
      <c r="P98" s="272"/>
      <c r="Q98" s="272"/>
      <c r="R98" s="272"/>
    </row>
    <row r="99" spans="1:18" ht="4.9000000000000004" customHeight="1">
      <c r="A99" s="277"/>
      <c r="B99" s="290">
        <v>0</v>
      </c>
      <c r="C99" s="290">
        <v>0</v>
      </c>
      <c r="D99" s="290"/>
      <c r="E99" s="290"/>
      <c r="F99" s="285"/>
      <c r="G99" s="285"/>
      <c r="H99" s="285"/>
      <c r="I99" s="285"/>
      <c r="J99" s="285"/>
      <c r="K99" s="285"/>
      <c r="L99" s="285"/>
      <c r="M99" s="272"/>
      <c r="N99" s="285"/>
      <c r="O99" s="272"/>
      <c r="P99" s="272"/>
      <c r="Q99" s="272"/>
      <c r="R99" s="272"/>
    </row>
    <row r="100" spans="1:18">
      <c r="A100" s="260" t="s">
        <v>15</v>
      </c>
      <c r="B100" s="290">
        <v>0</v>
      </c>
      <c r="C100" s="290">
        <v>34279</v>
      </c>
      <c r="D100" s="290">
        <v>34279</v>
      </c>
      <c r="E100" s="290">
        <v>32564</v>
      </c>
      <c r="F100" s="285">
        <v>32001</v>
      </c>
      <c r="G100" s="285">
        <v>30233</v>
      </c>
      <c r="H100" s="285">
        <v>30390</v>
      </c>
      <c r="I100" s="285">
        <v>29418</v>
      </c>
      <c r="J100" s="285">
        <v>26993</v>
      </c>
      <c r="K100" s="285">
        <v>27028</v>
      </c>
      <c r="L100" s="285">
        <v>26758</v>
      </c>
      <c r="M100" s="272"/>
      <c r="N100" s="285"/>
      <c r="O100" s="272"/>
      <c r="P100" s="272"/>
      <c r="Q100" s="272"/>
      <c r="R100" s="272"/>
    </row>
    <row r="101" spans="1:18">
      <c r="A101" s="260" t="s">
        <v>368</v>
      </c>
      <c r="B101" s="292">
        <v>0</v>
      </c>
      <c r="C101" s="292">
        <v>22198</v>
      </c>
      <c r="D101" s="292">
        <v>22198</v>
      </c>
      <c r="E101" s="292">
        <v>21848</v>
      </c>
      <c r="F101" s="292">
        <v>21205</v>
      </c>
      <c r="G101" s="292">
        <v>19694</v>
      </c>
      <c r="H101" s="292">
        <v>18981</v>
      </c>
      <c r="I101" s="292">
        <v>18595</v>
      </c>
      <c r="J101" s="292">
        <v>16869</v>
      </c>
      <c r="K101" s="292">
        <v>16869</v>
      </c>
      <c r="L101" s="292">
        <v>16869</v>
      </c>
      <c r="M101" s="272"/>
      <c r="N101" s="285"/>
      <c r="O101" s="272"/>
      <c r="P101" s="272"/>
      <c r="Q101" s="272"/>
      <c r="R101" s="272"/>
    </row>
    <row r="102" spans="1:18">
      <c r="A102" s="260" t="s">
        <v>415</v>
      </c>
      <c r="B102" s="292">
        <v>0</v>
      </c>
      <c r="C102" s="292">
        <v>12081</v>
      </c>
      <c r="D102" s="292">
        <v>12081</v>
      </c>
      <c r="E102" s="292">
        <v>10716</v>
      </c>
      <c r="F102" s="292">
        <v>10796</v>
      </c>
      <c r="G102" s="292">
        <v>10539</v>
      </c>
      <c r="H102" s="292">
        <v>11409</v>
      </c>
      <c r="I102" s="292">
        <v>10823</v>
      </c>
      <c r="J102" s="292">
        <v>10124</v>
      </c>
      <c r="K102" s="292">
        <v>10159</v>
      </c>
      <c r="L102" s="292">
        <v>9889</v>
      </c>
      <c r="M102" s="272"/>
      <c r="N102" s="285"/>
      <c r="O102" s="272"/>
      <c r="P102" s="272"/>
      <c r="Q102" s="272"/>
      <c r="R102" s="272"/>
    </row>
    <row r="103" spans="1:18" ht="1.5" customHeight="1">
      <c r="A103" s="260"/>
      <c r="B103" s="292"/>
      <c r="C103" s="292"/>
      <c r="D103" s="292"/>
      <c r="E103" s="292"/>
      <c r="F103" s="292"/>
      <c r="G103" s="292"/>
      <c r="H103" s="292"/>
      <c r="I103" s="292"/>
      <c r="J103" s="292"/>
      <c r="K103" s="292"/>
      <c r="L103" s="292"/>
      <c r="N103" s="285"/>
      <c r="O103" s="272"/>
      <c r="P103" s="272"/>
      <c r="Q103" s="272"/>
      <c r="R103" s="272"/>
    </row>
    <row r="104" spans="1:18">
      <c r="A104" s="277"/>
      <c r="B104" s="290"/>
      <c r="C104" s="290"/>
      <c r="D104" s="290"/>
      <c r="E104" s="290"/>
      <c r="F104" s="285"/>
      <c r="G104" s="285"/>
      <c r="H104" s="285"/>
      <c r="I104" s="285"/>
      <c r="J104" s="285"/>
      <c r="K104" s="285"/>
      <c r="L104" s="285"/>
      <c r="N104" s="285"/>
      <c r="O104" s="272"/>
      <c r="P104" s="272"/>
      <c r="Q104" s="272"/>
      <c r="R104" s="272"/>
    </row>
    <row r="105" spans="1:18" ht="15.75">
      <c r="A105" s="328" t="s">
        <v>450</v>
      </c>
      <c r="C105" s="334"/>
      <c r="D105" s="334"/>
      <c r="E105" s="334"/>
      <c r="F105" s="259"/>
      <c r="G105" s="259"/>
      <c r="H105" s="259"/>
      <c r="I105" s="259"/>
      <c r="J105" s="259"/>
      <c r="K105" s="259"/>
      <c r="L105" s="259"/>
      <c r="N105" s="259"/>
      <c r="O105" s="272"/>
      <c r="P105" s="272"/>
      <c r="Q105" s="272"/>
      <c r="R105" s="272"/>
    </row>
    <row r="106" spans="1:18" ht="6" customHeight="1">
      <c r="C106" s="280"/>
      <c r="D106" s="280"/>
      <c r="E106" s="280"/>
      <c r="F106" s="280"/>
      <c r="G106" s="280"/>
      <c r="H106" s="280"/>
      <c r="I106" s="280"/>
      <c r="J106" s="318"/>
      <c r="K106" s="318"/>
      <c r="L106" s="280"/>
      <c r="N106" s="320"/>
      <c r="O106" s="272"/>
      <c r="P106" s="272"/>
      <c r="Q106" s="272"/>
      <c r="R106" s="272"/>
    </row>
    <row r="107" spans="1:18">
      <c r="A107" s="262" t="s">
        <v>418</v>
      </c>
      <c r="B107" s="290">
        <v>3</v>
      </c>
      <c r="C107" s="290">
        <v>-30</v>
      </c>
      <c r="D107" s="290">
        <v>-19</v>
      </c>
      <c r="E107" s="290">
        <v>-30</v>
      </c>
      <c r="F107" s="285">
        <v>-41</v>
      </c>
      <c r="G107" s="285">
        <v>-28</v>
      </c>
      <c r="H107" s="285">
        <v>-99</v>
      </c>
      <c r="I107" s="285">
        <v>-88</v>
      </c>
      <c r="J107" s="285">
        <v>-174</v>
      </c>
      <c r="K107" s="285">
        <v>-172</v>
      </c>
      <c r="L107" s="285">
        <v>-195</v>
      </c>
      <c r="M107" s="272"/>
      <c r="N107" s="285"/>
      <c r="O107" s="272"/>
      <c r="P107" s="272"/>
      <c r="Q107" s="272"/>
      <c r="R107" s="272"/>
    </row>
    <row r="108" spans="1:18">
      <c r="A108" s="264" t="s">
        <v>419</v>
      </c>
      <c r="B108" s="290">
        <v>24</v>
      </c>
      <c r="C108" s="290">
        <v>-261</v>
      </c>
      <c r="D108" s="290">
        <v>-203</v>
      </c>
      <c r="E108" s="290">
        <v>-187</v>
      </c>
      <c r="F108" s="285">
        <v>-140</v>
      </c>
      <c r="G108" s="285">
        <v>-134</v>
      </c>
      <c r="H108" s="285">
        <v>-157</v>
      </c>
      <c r="I108" s="285">
        <v>-145</v>
      </c>
      <c r="J108" s="285">
        <v>-211</v>
      </c>
      <c r="K108" s="285">
        <v>-189</v>
      </c>
      <c r="L108" s="285">
        <v>-236</v>
      </c>
      <c r="M108" s="272"/>
      <c r="N108" s="285"/>
      <c r="O108" s="272"/>
      <c r="P108" s="272"/>
      <c r="Q108" s="272"/>
      <c r="R108" s="272"/>
    </row>
    <row r="109" spans="1:18">
      <c r="A109" s="264" t="s">
        <v>391</v>
      </c>
      <c r="B109" s="290">
        <v>0</v>
      </c>
      <c r="C109" s="290">
        <v>0</v>
      </c>
      <c r="D109" s="290">
        <v>0</v>
      </c>
      <c r="E109" s="290">
        <v>0</v>
      </c>
      <c r="F109" s="285">
        <v>0</v>
      </c>
      <c r="G109" s="285">
        <v>0</v>
      </c>
      <c r="H109" s="285">
        <v>0</v>
      </c>
      <c r="I109" s="285">
        <v>0</v>
      </c>
      <c r="J109" s="285">
        <v>0</v>
      </c>
      <c r="K109" s="285">
        <v>0</v>
      </c>
      <c r="L109" s="285">
        <v>0</v>
      </c>
      <c r="M109" s="272"/>
      <c r="N109" s="285"/>
      <c r="O109" s="272"/>
      <c r="P109" s="272"/>
      <c r="Q109" s="272"/>
      <c r="R109" s="272"/>
    </row>
    <row r="110" spans="1:18">
      <c r="A110" s="264" t="s">
        <v>424</v>
      </c>
      <c r="B110" s="290">
        <v>19</v>
      </c>
      <c r="C110" s="290">
        <v>-237</v>
      </c>
      <c r="D110" s="290">
        <v>126</v>
      </c>
      <c r="E110" s="290">
        <v>-209</v>
      </c>
      <c r="F110" s="285">
        <v>-116</v>
      </c>
      <c r="G110" s="285">
        <v>246</v>
      </c>
      <c r="H110" s="285">
        <v>-64</v>
      </c>
      <c r="I110" s="285">
        <v>450</v>
      </c>
      <c r="J110" s="285">
        <v>-594</v>
      </c>
      <c r="K110" s="285">
        <v>88</v>
      </c>
      <c r="L110" s="285">
        <v>423</v>
      </c>
      <c r="M110" s="272"/>
      <c r="N110" s="285"/>
      <c r="O110" s="272"/>
      <c r="P110" s="272"/>
      <c r="Q110" s="272"/>
      <c r="R110" s="272"/>
    </row>
    <row r="111" spans="1:18">
      <c r="A111" s="264" t="s">
        <v>382</v>
      </c>
      <c r="B111" s="290">
        <v>0</v>
      </c>
      <c r="C111" s="290">
        <v>0</v>
      </c>
      <c r="D111" s="290">
        <v>0</v>
      </c>
      <c r="E111" s="290">
        <v>0</v>
      </c>
      <c r="F111" s="285">
        <v>0</v>
      </c>
      <c r="G111" s="285">
        <v>-1</v>
      </c>
      <c r="H111" s="285">
        <v>0</v>
      </c>
      <c r="I111" s="285">
        <v>0</v>
      </c>
      <c r="J111" s="285">
        <v>0</v>
      </c>
      <c r="K111" s="285">
        <v>0</v>
      </c>
      <c r="L111" s="285">
        <v>0</v>
      </c>
      <c r="M111" s="272"/>
      <c r="N111" s="285"/>
      <c r="O111" s="272"/>
      <c r="P111" s="272"/>
      <c r="Q111" s="272"/>
      <c r="R111" s="272"/>
    </row>
    <row r="112" spans="1:18">
      <c r="A112" s="264" t="s">
        <v>10</v>
      </c>
      <c r="B112" s="290">
        <v>5</v>
      </c>
      <c r="C112" s="290">
        <v>-158</v>
      </c>
      <c r="D112" s="290">
        <v>526</v>
      </c>
      <c r="E112" s="290">
        <v>44</v>
      </c>
      <c r="F112" s="285">
        <v>-15</v>
      </c>
      <c r="G112" s="285">
        <v>1210</v>
      </c>
      <c r="H112" s="285">
        <v>91</v>
      </c>
      <c r="I112" s="285">
        <v>290</v>
      </c>
      <c r="J112" s="285">
        <v>8</v>
      </c>
      <c r="K112" s="285">
        <v>91</v>
      </c>
      <c r="L112" s="285">
        <v>24</v>
      </c>
      <c r="M112" s="272"/>
      <c r="N112" s="285"/>
      <c r="O112" s="272"/>
      <c r="P112" s="272"/>
      <c r="Q112" s="272"/>
      <c r="R112" s="272"/>
    </row>
    <row r="113" spans="1:18">
      <c r="A113" s="260" t="s">
        <v>422</v>
      </c>
      <c r="B113" s="292">
        <v>51</v>
      </c>
      <c r="C113" s="292">
        <v>-686</v>
      </c>
      <c r="D113" s="292">
        <v>430</v>
      </c>
      <c r="E113" s="292">
        <v>-382</v>
      </c>
      <c r="F113" s="292">
        <v>-312</v>
      </c>
      <c r="G113" s="292">
        <v>1293</v>
      </c>
      <c r="H113" s="292">
        <v>-229</v>
      </c>
      <c r="I113" s="292">
        <v>507</v>
      </c>
      <c r="J113" s="292">
        <v>-971</v>
      </c>
      <c r="K113" s="292">
        <v>-182</v>
      </c>
      <c r="L113" s="292">
        <v>16</v>
      </c>
      <c r="M113" s="272"/>
      <c r="N113" s="285"/>
      <c r="O113" s="272"/>
      <c r="P113" s="272"/>
      <c r="Q113" s="272"/>
      <c r="R113" s="272"/>
    </row>
    <row r="114" spans="1:18">
      <c r="A114" s="262" t="s">
        <v>283</v>
      </c>
      <c r="B114" s="290">
        <v>-33</v>
      </c>
      <c r="C114" s="290">
        <v>-55</v>
      </c>
      <c r="D114" s="290">
        <v>-43</v>
      </c>
      <c r="E114" s="290">
        <v>-39</v>
      </c>
      <c r="F114" s="285">
        <v>-85</v>
      </c>
      <c r="G114" s="285">
        <v>-46</v>
      </c>
      <c r="H114" s="285">
        <v>-29</v>
      </c>
      <c r="I114" s="285">
        <v>-29</v>
      </c>
      <c r="J114" s="285">
        <v>-75</v>
      </c>
      <c r="K114" s="285">
        <v>-13</v>
      </c>
      <c r="L114" s="285">
        <v>-19</v>
      </c>
      <c r="M114" s="272"/>
      <c r="N114" s="285"/>
      <c r="O114" s="272"/>
      <c r="P114" s="272"/>
      <c r="Q114" s="272"/>
      <c r="R114" s="272"/>
    </row>
    <row r="115" spans="1:18">
      <c r="A115" s="262" t="s">
        <v>406</v>
      </c>
      <c r="B115" s="290">
        <v>-1</v>
      </c>
      <c r="C115" s="290">
        <v>-2</v>
      </c>
      <c r="D115" s="290">
        <v>-1</v>
      </c>
      <c r="E115" s="290">
        <v>-1</v>
      </c>
      <c r="F115" s="285">
        <v>-1</v>
      </c>
      <c r="G115" s="285">
        <v>-2</v>
      </c>
      <c r="H115" s="285">
        <v>-1</v>
      </c>
      <c r="I115" s="285">
        <v>-2</v>
      </c>
      <c r="J115" s="285">
        <v>-1</v>
      </c>
      <c r="K115" s="285">
        <v>-3</v>
      </c>
      <c r="L115" s="285">
        <v>-1</v>
      </c>
      <c r="M115" s="272"/>
      <c r="N115" s="285"/>
      <c r="O115" s="272"/>
      <c r="P115" s="272"/>
      <c r="Q115" s="272"/>
      <c r="R115" s="272"/>
    </row>
    <row r="116" spans="1:18">
      <c r="A116" s="262" t="s">
        <v>407</v>
      </c>
      <c r="B116" s="290">
        <v>0</v>
      </c>
      <c r="C116" s="290">
        <v>0</v>
      </c>
      <c r="D116" s="290">
        <v>0</v>
      </c>
      <c r="E116" s="290">
        <v>0</v>
      </c>
      <c r="F116" s="285">
        <v>0</v>
      </c>
      <c r="G116" s="285">
        <v>0</v>
      </c>
      <c r="H116" s="285">
        <v>0</v>
      </c>
      <c r="I116" s="285">
        <v>0</v>
      </c>
      <c r="J116" s="285">
        <v>0</v>
      </c>
      <c r="K116" s="285">
        <v>0</v>
      </c>
      <c r="L116" s="285">
        <v>0</v>
      </c>
      <c r="M116" s="272"/>
      <c r="N116" s="285"/>
      <c r="O116" s="272"/>
      <c r="P116" s="272"/>
      <c r="Q116" s="272"/>
      <c r="R116" s="272"/>
    </row>
    <row r="117" spans="1:18">
      <c r="A117" s="262" t="s">
        <v>319</v>
      </c>
      <c r="B117" s="290">
        <v>0</v>
      </c>
      <c r="C117" s="290">
        <v>158</v>
      </c>
      <c r="D117" s="290">
        <v>-583</v>
      </c>
      <c r="E117" s="290">
        <v>67</v>
      </c>
      <c r="F117" s="285">
        <v>-85</v>
      </c>
      <c r="G117" s="285">
        <v>2486</v>
      </c>
      <c r="H117" s="285">
        <v>1165</v>
      </c>
      <c r="I117" s="285">
        <v>212</v>
      </c>
      <c r="J117" s="285">
        <v>683</v>
      </c>
      <c r="K117" s="285">
        <v>3053</v>
      </c>
      <c r="L117" s="285">
        <v>3215</v>
      </c>
      <c r="M117" s="272"/>
      <c r="N117" s="285"/>
      <c r="O117" s="272"/>
      <c r="P117" s="272"/>
      <c r="Q117" s="272"/>
      <c r="R117" s="272"/>
    </row>
    <row r="118" spans="1:18">
      <c r="A118" s="260" t="s">
        <v>423</v>
      </c>
      <c r="B118" s="292">
        <v>17</v>
      </c>
      <c r="C118" s="292">
        <v>-585</v>
      </c>
      <c r="D118" s="292">
        <v>-197</v>
      </c>
      <c r="E118" s="292">
        <v>-355</v>
      </c>
      <c r="F118" s="292">
        <v>-483</v>
      </c>
      <c r="G118" s="292">
        <v>3731</v>
      </c>
      <c r="H118" s="292">
        <v>906</v>
      </c>
      <c r="I118" s="292">
        <v>688</v>
      </c>
      <c r="J118" s="292">
        <v>-364</v>
      </c>
      <c r="K118" s="292">
        <v>2855</v>
      </c>
      <c r="L118" s="292">
        <v>3211</v>
      </c>
      <c r="M118" s="272"/>
      <c r="N118" s="285"/>
      <c r="O118" s="272"/>
      <c r="P118" s="272"/>
      <c r="Q118" s="272"/>
      <c r="R118" s="272"/>
    </row>
    <row r="119" spans="1:18" ht="4.9000000000000004" customHeight="1">
      <c r="A119" s="277"/>
      <c r="B119" s="290"/>
      <c r="C119" s="290"/>
      <c r="D119" s="290"/>
      <c r="E119" s="290"/>
      <c r="F119" s="285"/>
      <c r="G119" s="285"/>
      <c r="H119" s="285"/>
      <c r="I119" s="285"/>
      <c r="J119" s="285"/>
      <c r="K119" s="285"/>
      <c r="L119" s="285"/>
      <c r="N119" s="285"/>
      <c r="O119" s="272"/>
      <c r="P119" s="272"/>
      <c r="Q119" s="272"/>
      <c r="R119" s="272"/>
    </row>
    <row r="120" spans="1:18">
      <c r="A120" s="260" t="s">
        <v>15</v>
      </c>
      <c r="B120" s="290">
        <v>37015</v>
      </c>
      <c r="C120" s="290">
        <v>38792</v>
      </c>
      <c r="D120" s="290">
        <v>38792</v>
      </c>
      <c r="E120" s="290">
        <v>44821</v>
      </c>
      <c r="F120" s="285">
        <v>34443</v>
      </c>
      <c r="G120" s="285">
        <v>42485</v>
      </c>
      <c r="H120" s="285">
        <v>54723</v>
      </c>
      <c r="I120" s="285">
        <v>48891</v>
      </c>
      <c r="J120" s="285">
        <v>51792</v>
      </c>
      <c r="K120" s="285">
        <v>58515</v>
      </c>
      <c r="L120" s="285">
        <v>62367</v>
      </c>
      <c r="N120" s="285"/>
      <c r="O120" s="272"/>
      <c r="Q120" s="272"/>
      <c r="R120" s="272"/>
    </row>
    <row r="121" spans="1:18">
      <c r="A121" s="260" t="s">
        <v>368</v>
      </c>
      <c r="B121" s="292">
        <v>18470</v>
      </c>
      <c r="C121" s="292">
        <v>20180</v>
      </c>
      <c r="D121" s="292">
        <v>20180</v>
      </c>
      <c r="E121" s="292">
        <v>22331</v>
      </c>
      <c r="F121" s="292">
        <v>11889</v>
      </c>
      <c r="G121" s="292">
        <v>19736</v>
      </c>
      <c r="H121" s="292">
        <v>30792</v>
      </c>
      <c r="I121" s="292">
        <v>26961</v>
      </c>
      <c r="J121" s="292">
        <v>31867</v>
      </c>
      <c r="K121" s="292">
        <v>37530</v>
      </c>
      <c r="L121" s="292">
        <v>36249</v>
      </c>
      <c r="N121" s="285"/>
      <c r="O121" s="272"/>
      <c r="Q121" s="272"/>
      <c r="R121" s="272"/>
    </row>
    <row r="122" spans="1:18">
      <c r="A122" s="260" t="s">
        <v>415</v>
      </c>
      <c r="B122" s="292">
        <v>18545</v>
      </c>
      <c r="C122" s="292">
        <v>18612</v>
      </c>
      <c r="D122" s="292">
        <v>18612</v>
      </c>
      <c r="E122" s="292">
        <v>22490</v>
      </c>
      <c r="F122" s="292">
        <v>22554</v>
      </c>
      <c r="G122" s="292">
        <v>22749</v>
      </c>
      <c r="H122" s="292">
        <v>23931</v>
      </c>
      <c r="I122" s="292">
        <v>21930</v>
      </c>
      <c r="J122" s="292">
        <v>19925</v>
      </c>
      <c r="K122" s="292">
        <v>20985</v>
      </c>
      <c r="L122" s="292">
        <v>26118</v>
      </c>
      <c r="N122" s="285"/>
      <c r="O122" s="272"/>
      <c r="Q122" s="272"/>
      <c r="R122" s="272"/>
    </row>
    <row r="123" spans="1:18" ht="1.5" customHeight="1">
      <c r="A123" s="260"/>
      <c r="B123" s="292"/>
      <c r="C123" s="292"/>
      <c r="D123" s="292"/>
      <c r="E123" s="292"/>
      <c r="F123" s="292"/>
      <c r="G123" s="292"/>
      <c r="H123" s="292"/>
      <c r="I123" s="292"/>
      <c r="J123" s="292"/>
      <c r="K123" s="292"/>
      <c r="L123" s="292"/>
      <c r="N123" s="285"/>
      <c r="O123" s="272"/>
      <c r="P123" s="272"/>
      <c r="Q123" s="272"/>
      <c r="R123" s="272"/>
    </row>
    <row r="124" spans="1:18">
      <c r="A124" s="338" t="s">
        <v>454</v>
      </c>
      <c r="B124" s="302"/>
      <c r="C124" s="302"/>
      <c r="D124" s="302"/>
      <c r="E124" s="302"/>
      <c r="F124" s="302"/>
      <c r="G124" s="302"/>
      <c r="H124" s="302"/>
      <c r="I124" s="302"/>
      <c r="J124" s="302"/>
      <c r="K124" s="302"/>
      <c r="L124" s="302"/>
      <c r="N124" s="285"/>
      <c r="O124" s="272"/>
      <c r="Q124" s="272"/>
      <c r="R124" s="272"/>
    </row>
    <row r="125" spans="1:18" ht="15.75">
      <c r="A125" s="328" t="s">
        <v>417</v>
      </c>
      <c r="B125" s="290"/>
      <c r="C125" s="328"/>
      <c r="D125" s="334"/>
      <c r="E125" s="259"/>
      <c r="F125" s="259"/>
      <c r="G125" s="259"/>
      <c r="H125" s="259"/>
      <c r="I125" s="259"/>
      <c r="J125" s="259"/>
      <c r="K125" s="259"/>
      <c r="L125" s="259"/>
      <c r="N125" s="285"/>
      <c r="O125" s="272"/>
      <c r="P125" s="272"/>
      <c r="Q125" s="272"/>
      <c r="R125" s="272"/>
    </row>
    <row r="126" spans="1:18" ht="6" customHeight="1">
      <c r="D126" s="280"/>
      <c r="E126" s="280"/>
      <c r="F126" s="280"/>
      <c r="G126" s="280"/>
      <c r="H126" s="280"/>
      <c r="I126" s="318"/>
      <c r="J126" s="318"/>
      <c r="K126" s="280"/>
      <c r="L126" s="280"/>
      <c r="N126" s="320"/>
      <c r="O126" s="272"/>
      <c r="P126" s="272"/>
      <c r="Q126" s="272"/>
      <c r="R126" s="272"/>
    </row>
    <row r="127" spans="1:18">
      <c r="A127" s="262" t="s">
        <v>425</v>
      </c>
      <c r="B127" s="290">
        <v>-27</v>
      </c>
      <c r="C127" s="290">
        <v>-9</v>
      </c>
      <c r="D127" s="290">
        <v>-7</v>
      </c>
      <c r="E127" s="290">
        <v>-7</v>
      </c>
      <c r="F127" s="285">
        <v>-8</v>
      </c>
      <c r="G127" s="285">
        <v>-81</v>
      </c>
      <c r="H127" s="285">
        <v>-26</v>
      </c>
      <c r="I127" s="285">
        <v>-39</v>
      </c>
      <c r="J127" s="285">
        <v>-18</v>
      </c>
      <c r="K127" s="285">
        <v>-26</v>
      </c>
      <c r="L127" s="285">
        <v>-38</v>
      </c>
      <c r="M127" s="272"/>
      <c r="N127" s="285"/>
      <c r="O127" s="272"/>
      <c r="P127" s="272"/>
      <c r="Q127" s="272"/>
      <c r="R127" s="272"/>
    </row>
    <row r="128" spans="1:18">
      <c r="A128" s="264" t="s">
        <v>419</v>
      </c>
      <c r="B128" s="290">
        <v>-199</v>
      </c>
      <c r="C128" s="290">
        <v>99</v>
      </c>
      <c r="D128" s="290">
        <v>0</v>
      </c>
      <c r="E128" s="290">
        <v>114</v>
      </c>
      <c r="F128" s="285">
        <v>86</v>
      </c>
      <c r="G128" s="285">
        <v>24</v>
      </c>
      <c r="H128" s="285">
        <v>41</v>
      </c>
      <c r="I128" s="285">
        <v>86</v>
      </c>
      <c r="J128" s="285">
        <v>113</v>
      </c>
      <c r="K128" s="285">
        <v>39</v>
      </c>
      <c r="L128" s="285">
        <v>135</v>
      </c>
      <c r="M128" s="272"/>
      <c r="N128" s="285"/>
      <c r="O128" s="272"/>
      <c r="P128" s="272"/>
      <c r="Q128" s="272"/>
      <c r="R128" s="272"/>
    </row>
    <row r="129" spans="1:18">
      <c r="A129" s="264" t="s">
        <v>426</v>
      </c>
      <c r="B129" s="290">
        <v>-61</v>
      </c>
      <c r="C129" s="290">
        <v>-5</v>
      </c>
      <c r="D129" s="290">
        <v>-6</v>
      </c>
      <c r="E129" s="290">
        <v>-5</v>
      </c>
      <c r="F129" s="285">
        <v>-46</v>
      </c>
      <c r="G129" s="285">
        <v>-7</v>
      </c>
      <c r="H129" s="285">
        <v>-10</v>
      </c>
      <c r="I129" s="285">
        <v>-34</v>
      </c>
      <c r="J129" s="285">
        <v>-22</v>
      </c>
      <c r="K129" s="285">
        <v>-7</v>
      </c>
      <c r="L129" s="285">
        <v>-6</v>
      </c>
      <c r="M129" s="272"/>
      <c r="N129" s="285"/>
      <c r="O129" s="272"/>
      <c r="P129" s="272"/>
      <c r="Q129" s="272"/>
      <c r="R129" s="272"/>
    </row>
    <row r="130" spans="1:18">
      <c r="A130" s="264" t="s">
        <v>424</v>
      </c>
      <c r="B130" s="290">
        <v>-31</v>
      </c>
      <c r="C130" s="290">
        <v>11</v>
      </c>
      <c r="D130" s="290">
        <v>-1</v>
      </c>
      <c r="E130" s="290">
        <v>1</v>
      </c>
      <c r="F130" s="285">
        <v>0</v>
      </c>
      <c r="G130" s="285">
        <v>-1</v>
      </c>
      <c r="H130" s="285">
        <v>-1</v>
      </c>
      <c r="I130" s="285">
        <v>1</v>
      </c>
      <c r="J130" s="285">
        <v>11</v>
      </c>
      <c r="K130" s="285">
        <v>-3</v>
      </c>
      <c r="L130" s="285">
        <v>-49</v>
      </c>
      <c r="M130" s="272"/>
      <c r="N130" s="285"/>
      <c r="O130" s="272"/>
      <c r="P130" s="272"/>
      <c r="Q130" s="272"/>
      <c r="R130" s="272"/>
    </row>
    <row r="131" spans="1:18">
      <c r="A131" s="264" t="s">
        <v>420</v>
      </c>
      <c r="B131" s="290">
        <v>203</v>
      </c>
      <c r="C131" s="290">
        <v>-11</v>
      </c>
      <c r="D131" s="290">
        <v>7</v>
      </c>
      <c r="E131" s="290">
        <v>33</v>
      </c>
      <c r="F131" s="285">
        <v>1</v>
      </c>
      <c r="G131" s="285">
        <v>-21</v>
      </c>
      <c r="H131" s="285">
        <v>50</v>
      </c>
      <c r="I131" s="285">
        <v>44</v>
      </c>
      <c r="J131" s="285">
        <v>-25</v>
      </c>
      <c r="K131" s="285">
        <v>7</v>
      </c>
      <c r="L131" s="285">
        <v>30</v>
      </c>
      <c r="M131" s="272"/>
      <c r="N131" s="285"/>
      <c r="O131" s="272"/>
      <c r="P131" s="272"/>
      <c r="Q131" s="272"/>
      <c r="R131" s="272"/>
    </row>
    <row r="132" spans="1:18">
      <c r="A132" s="264" t="s">
        <v>421</v>
      </c>
      <c r="B132" s="290">
        <v>197</v>
      </c>
      <c r="C132" s="290">
        <v>446</v>
      </c>
      <c r="D132" s="290">
        <v>270</v>
      </c>
      <c r="E132" s="290">
        <v>-12</v>
      </c>
      <c r="F132" s="285">
        <v>103</v>
      </c>
      <c r="G132" s="285">
        <v>85</v>
      </c>
      <c r="H132" s="285">
        <v>302</v>
      </c>
      <c r="I132" s="285">
        <v>-218</v>
      </c>
      <c r="J132" s="285">
        <v>40</v>
      </c>
      <c r="K132" s="285">
        <v>-12</v>
      </c>
      <c r="L132" s="285">
        <v>73</v>
      </c>
      <c r="M132" s="272"/>
      <c r="N132" s="285"/>
      <c r="O132" s="272"/>
      <c r="P132" s="272"/>
      <c r="Q132" s="272"/>
      <c r="R132" s="272"/>
    </row>
    <row r="133" spans="1:18">
      <c r="A133" s="260" t="s">
        <v>422</v>
      </c>
      <c r="B133" s="292">
        <v>82</v>
      </c>
      <c r="C133" s="292">
        <v>531</v>
      </c>
      <c r="D133" s="292">
        <v>263</v>
      </c>
      <c r="E133" s="292">
        <v>124</v>
      </c>
      <c r="F133" s="292">
        <v>136</v>
      </c>
      <c r="G133" s="292">
        <v>-1</v>
      </c>
      <c r="H133" s="292">
        <v>356</v>
      </c>
      <c r="I133" s="292">
        <v>-160</v>
      </c>
      <c r="J133" s="292">
        <v>99</v>
      </c>
      <c r="K133" s="292">
        <v>-2</v>
      </c>
      <c r="L133" s="292">
        <v>145</v>
      </c>
      <c r="M133" s="272"/>
      <c r="N133" s="285"/>
      <c r="O133" s="272"/>
      <c r="P133" s="272"/>
      <c r="Q133" s="272"/>
      <c r="R133" s="272"/>
    </row>
    <row r="134" spans="1:18">
      <c r="A134" s="262" t="s">
        <v>283</v>
      </c>
      <c r="B134" s="290">
        <v>-3574</v>
      </c>
      <c r="C134" s="290">
        <v>-3959</v>
      </c>
      <c r="D134" s="290">
        <v>-2993</v>
      </c>
      <c r="E134" s="290">
        <v>-3485</v>
      </c>
      <c r="F134" s="285">
        <v>-3115</v>
      </c>
      <c r="G134" s="285">
        <v>-3534</v>
      </c>
      <c r="H134" s="285">
        <v>-2889</v>
      </c>
      <c r="I134" s="285">
        <v>-3271</v>
      </c>
      <c r="J134" s="285">
        <v>-2959</v>
      </c>
      <c r="K134" s="285">
        <v>-3272</v>
      </c>
      <c r="L134" s="285">
        <v>-3994</v>
      </c>
      <c r="M134" s="272"/>
      <c r="N134" s="285"/>
      <c r="O134" s="272"/>
      <c r="P134" s="272"/>
      <c r="Q134" s="272"/>
      <c r="R134" s="272"/>
    </row>
    <row r="135" spans="1:18">
      <c r="A135" s="262" t="s">
        <v>406</v>
      </c>
      <c r="B135" s="290">
        <v>3364</v>
      </c>
      <c r="C135" s="290">
        <v>3524</v>
      </c>
      <c r="D135" s="290">
        <v>2730</v>
      </c>
      <c r="E135" s="290">
        <v>3417</v>
      </c>
      <c r="F135" s="285">
        <v>2983</v>
      </c>
      <c r="G135" s="285">
        <v>3240</v>
      </c>
      <c r="H135" s="285">
        <v>2347</v>
      </c>
      <c r="I135" s="285">
        <v>3078</v>
      </c>
      <c r="J135" s="285">
        <v>2783</v>
      </c>
      <c r="K135" s="285">
        <v>3055</v>
      </c>
      <c r="L135" s="285">
        <v>2524</v>
      </c>
      <c r="M135" s="272"/>
      <c r="N135" s="285"/>
      <c r="O135" s="272"/>
      <c r="P135" s="272"/>
      <c r="Q135" s="272"/>
      <c r="R135" s="272"/>
    </row>
    <row r="136" spans="1:18">
      <c r="A136" s="262" t="s">
        <v>407</v>
      </c>
      <c r="B136" s="290">
        <v>0</v>
      </c>
      <c r="C136" s="290">
        <v>0</v>
      </c>
      <c r="D136" s="290">
        <v>0</v>
      </c>
      <c r="E136" s="290">
        <v>0</v>
      </c>
      <c r="F136" s="285">
        <v>0</v>
      </c>
      <c r="G136" s="285">
        <v>1</v>
      </c>
      <c r="H136" s="285">
        <v>-1</v>
      </c>
      <c r="I136" s="285">
        <v>0</v>
      </c>
      <c r="J136" s="285">
        <v>0</v>
      </c>
      <c r="K136" s="285">
        <v>0</v>
      </c>
      <c r="L136" s="285">
        <v>0</v>
      </c>
      <c r="M136" s="272"/>
      <c r="N136" s="285"/>
      <c r="O136" s="272"/>
      <c r="P136" s="272"/>
      <c r="Q136" s="272"/>
      <c r="R136" s="272"/>
    </row>
    <row r="137" spans="1:18">
      <c r="A137" s="262" t="s">
        <v>319</v>
      </c>
      <c r="B137" s="290">
        <v>4</v>
      </c>
      <c r="C137" s="290">
        <v>-187</v>
      </c>
      <c r="D137" s="290">
        <v>-85</v>
      </c>
      <c r="E137" s="290">
        <v>-167</v>
      </c>
      <c r="F137" s="285">
        <v>-92</v>
      </c>
      <c r="G137" s="285">
        <v>-2430</v>
      </c>
      <c r="H137" s="285">
        <v>1</v>
      </c>
      <c r="I137" s="285">
        <v>-1</v>
      </c>
      <c r="J137" s="285">
        <v>1</v>
      </c>
      <c r="K137" s="285">
        <v>0</v>
      </c>
      <c r="L137" s="285">
        <v>-2</v>
      </c>
      <c r="M137" s="272"/>
      <c r="N137" s="285"/>
      <c r="O137" s="272"/>
      <c r="P137" s="272"/>
      <c r="Q137" s="272"/>
      <c r="R137" s="272"/>
    </row>
    <row r="138" spans="1:18">
      <c r="A138" s="260" t="s">
        <v>423</v>
      </c>
      <c r="B138" s="292">
        <v>-124</v>
      </c>
      <c r="C138" s="292">
        <v>-91</v>
      </c>
      <c r="D138" s="292">
        <v>-85</v>
      </c>
      <c r="E138" s="292">
        <v>-111</v>
      </c>
      <c r="F138" s="292">
        <v>-88</v>
      </c>
      <c r="G138" s="292">
        <v>-2724</v>
      </c>
      <c r="H138" s="292">
        <v>-186</v>
      </c>
      <c r="I138" s="292">
        <v>-354</v>
      </c>
      <c r="J138" s="292">
        <v>-76</v>
      </c>
      <c r="K138" s="292">
        <v>-219</v>
      </c>
      <c r="L138" s="292">
        <v>-1327</v>
      </c>
      <c r="M138" s="272"/>
      <c r="N138" s="285"/>
      <c r="O138" s="272"/>
      <c r="P138" s="272"/>
      <c r="Q138" s="272"/>
      <c r="R138" s="272"/>
    </row>
    <row r="139" spans="1:18">
      <c r="A139" s="277"/>
      <c r="B139" s="290"/>
      <c r="C139" s="290"/>
      <c r="D139" s="290"/>
      <c r="E139" s="290"/>
      <c r="F139" s="285"/>
      <c r="G139" s="285"/>
      <c r="H139" s="285"/>
      <c r="I139" s="285"/>
      <c r="J139" s="285"/>
      <c r="K139" s="285"/>
      <c r="L139" s="285"/>
      <c r="N139" s="285"/>
      <c r="O139" s="272"/>
      <c r="P139" s="272"/>
      <c r="Q139" s="272"/>
      <c r="R139" s="272"/>
    </row>
    <row r="140" spans="1:18">
      <c r="A140" s="260" t="s">
        <v>15</v>
      </c>
      <c r="B140" s="290">
        <v>-340250</v>
      </c>
      <c r="C140" s="290">
        <v>-286390</v>
      </c>
      <c r="D140" s="290">
        <v>-286390</v>
      </c>
      <c r="E140" s="290">
        <v>-239535</v>
      </c>
      <c r="F140" s="285">
        <v>-260506</v>
      </c>
      <c r="G140" s="285">
        <v>-280737</v>
      </c>
      <c r="H140" s="285">
        <v>-257036</v>
      </c>
      <c r="I140" s="285">
        <v>263458</v>
      </c>
      <c r="J140" s="285">
        <v>-253144</v>
      </c>
      <c r="K140" s="285">
        <v>-326703</v>
      </c>
      <c r="L140" s="285">
        <v>-356369</v>
      </c>
      <c r="N140" s="285"/>
      <c r="O140" s="272"/>
      <c r="Q140" s="272"/>
      <c r="R140" s="272"/>
    </row>
    <row r="141" spans="1:18">
      <c r="A141" s="260" t="s">
        <v>368</v>
      </c>
      <c r="B141" s="292">
        <v>-340250</v>
      </c>
      <c r="C141" s="292">
        <v>-286390</v>
      </c>
      <c r="D141" s="292">
        <v>-286390</v>
      </c>
      <c r="E141" s="292">
        <v>-239535</v>
      </c>
      <c r="F141" s="292">
        <v>-260506</v>
      </c>
      <c r="G141" s="292">
        <v>-280737</v>
      </c>
      <c r="H141" s="292">
        <v>-257036</v>
      </c>
      <c r="I141" s="292">
        <v>-263458</v>
      </c>
      <c r="J141" s="292">
        <v>-254859</v>
      </c>
      <c r="K141" s="292">
        <v>-328916</v>
      </c>
      <c r="L141" s="292">
        <v>-357854</v>
      </c>
      <c r="N141" s="285"/>
      <c r="O141" s="272"/>
      <c r="Q141" s="272"/>
      <c r="R141" s="272"/>
    </row>
    <row r="142" spans="1:18">
      <c r="A142" s="260" t="s">
        <v>415</v>
      </c>
      <c r="B142" s="292">
        <v>0</v>
      </c>
      <c r="C142" s="292">
        <v>0</v>
      </c>
      <c r="D142" s="292">
        <v>0</v>
      </c>
      <c r="E142" s="292">
        <v>0</v>
      </c>
      <c r="F142" s="292">
        <v>0</v>
      </c>
      <c r="G142" s="292">
        <v>0</v>
      </c>
      <c r="H142" s="292">
        <v>0</v>
      </c>
      <c r="I142" s="292">
        <v>0</v>
      </c>
      <c r="J142" s="292">
        <v>1715</v>
      </c>
      <c r="K142" s="292">
        <v>2213</v>
      </c>
      <c r="L142" s="292">
        <v>1485</v>
      </c>
      <c r="N142" s="285"/>
      <c r="O142" s="272"/>
      <c r="Q142" s="272"/>
      <c r="R142" s="272"/>
    </row>
    <row r="143" spans="1:18" ht="1.5" customHeight="1">
      <c r="A143" s="260"/>
      <c r="B143" s="292"/>
      <c r="C143" s="292"/>
      <c r="D143" s="292"/>
      <c r="E143" s="292"/>
      <c r="F143" s="292"/>
      <c r="G143" s="292"/>
      <c r="H143" s="292"/>
      <c r="I143" s="292"/>
      <c r="J143" s="292"/>
      <c r="K143" s="292"/>
      <c r="L143" s="292"/>
      <c r="N143" s="285"/>
      <c r="O143" s="272"/>
      <c r="P143" s="272"/>
      <c r="Q143" s="272"/>
      <c r="R143" s="272"/>
    </row>
    <row r="144" spans="1:18">
      <c r="A144" s="277"/>
      <c r="B144" s="290"/>
      <c r="C144" s="277"/>
      <c r="D144" s="277"/>
      <c r="E144" s="277"/>
      <c r="F144" s="277"/>
      <c r="G144" s="285"/>
      <c r="H144" s="285"/>
      <c r="I144" s="285"/>
      <c r="J144" s="285"/>
      <c r="K144" s="285"/>
      <c r="L144" s="285"/>
      <c r="N144" s="285"/>
    </row>
    <row r="145" spans="7:14">
      <c r="G145" s="268"/>
      <c r="N145" s="285"/>
    </row>
    <row r="146" spans="7:14">
      <c r="N146" s="285"/>
    </row>
  </sheetData>
  <mergeCells count="1">
    <mergeCell ref="A2:L2"/>
  </mergeCells>
  <pageMargins left="0.70866141732283472" right="0.70866141732283472" top="0.74803149606299213" bottom="0.74803149606299213" header="0.31496062992125984" footer="0.31496062992125984"/>
  <pageSetup paperSize="9" scale="85" firstPageNumber="18" fitToHeight="2" orientation="landscape" useFirstPageNumber="1" r:id="rId1"/>
  <headerFooter>
    <oddFooter>&amp;L&amp;"-,Italic"&amp;8______________________________________________________
Arion Bank Factbook 31.03.2022&amp;C&amp;8&amp;P&amp;R&amp;"-,Italic"&amp;8______________________________________________________
All amounts are in ISK millions</oddFooter>
  </headerFooter>
  <rowBreaks count="3" manualBreakCount="3">
    <brk id="44" max="6" man="1"/>
    <brk id="84" max="6" man="1"/>
    <brk id="1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C"/>
    <pageSetUpPr fitToPage="1"/>
  </sheetPr>
  <dimension ref="A1:L62"/>
  <sheetViews>
    <sheetView zoomScaleNormal="100" zoomScaleSheetLayoutView="100" workbookViewId="0"/>
  </sheetViews>
  <sheetFormatPr defaultColWidth="9.140625" defaultRowHeight="15"/>
  <cols>
    <col min="1" max="1" width="44.85546875" style="247" customWidth="1"/>
    <col min="2" max="6" width="9" style="247" customWidth="1"/>
    <col min="7" max="7" width="40.28515625" style="247" customWidth="1"/>
    <col min="8" max="16384" width="9.140625" style="247"/>
  </cols>
  <sheetData>
    <row r="1" spans="1:12" ht="27.75" customHeight="1">
      <c r="A1" s="254" t="s">
        <v>373</v>
      </c>
      <c r="B1" s="251"/>
      <c r="C1" s="251"/>
      <c r="D1" s="251"/>
      <c r="E1" s="251"/>
      <c r="F1" s="251"/>
      <c r="G1" s="245"/>
    </row>
    <row r="2" spans="1:12">
      <c r="A2" s="252"/>
      <c r="B2" s="253"/>
      <c r="C2" s="253"/>
      <c r="D2" s="253"/>
      <c r="E2" s="253"/>
      <c r="F2" s="253"/>
      <c r="G2" s="245"/>
    </row>
    <row r="3" spans="1:12">
      <c r="A3" s="248"/>
      <c r="B3" s="249"/>
      <c r="C3" s="249"/>
      <c r="D3" s="249"/>
      <c r="E3" s="249"/>
      <c r="F3" s="249"/>
      <c r="G3" s="245"/>
    </row>
    <row r="4" spans="1:12">
      <c r="A4" s="248"/>
      <c r="B4" s="249"/>
      <c r="C4" s="249"/>
      <c r="D4" s="249"/>
      <c r="E4" s="249"/>
      <c r="F4" s="249"/>
      <c r="G4" s="245"/>
    </row>
    <row r="5" spans="1:12" ht="15" customHeight="1">
      <c r="A5" s="342" t="s">
        <v>374</v>
      </c>
      <c r="B5" s="342"/>
      <c r="C5" s="342"/>
      <c r="D5" s="342"/>
      <c r="E5" s="342"/>
      <c r="F5" s="342"/>
      <c r="G5" s="343"/>
      <c r="H5" s="343"/>
      <c r="I5" s="343"/>
      <c r="J5" s="343"/>
      <c r="K5" s="343"/>
      <c r="L5" s="343"/>
    </row>
    <row r="6" spans="1:12">
      <c r="A6" s="342"/>
      <c r="B6" s="342"/>
      <c r="C6" s="342"/>
      <c r="D6" s="342"/>
      <c r="E6" s="342"/>
      <c r="F6" s="342"/>
      <c r="G6" s="343"/>
      <c r="H6" s="343"/>
      <c r="I6" s="343"/>
      <c r="J6" s="343"/>
      <c r="K6" s="343"/>
      <c r="L6" s="343"/>
    </row>
    <row r="7" spans="1:12">
      <c r="A7" s="342"/>
      <c r="B7" s="342"/>
      <c r="C7" s="342"/>
      <c r="D7" s="342"/>
      <c r="E7" s="342"/>
      <c r="F7" s="342"/>
      <c r="G7" s="343"/>
      <c r="H7" s="343"/>
      <c r="I7" s="343"/>
      <c r="J7" s="343"/>
      <c r="K7" s="343"/>
      <c r="L7" s="343"/>
    </row>
    <row r="8" spans="1:12">
      <c r="A8" s="342"/>
      <c r="B8" s="342"/>
      <c r="C8" s="342"/>
      <c r="D8" s="342"/>
      <c r="E8" s="342"/>
      <c r="F8" s="342"/>
      <c r="G8" s="343"/>
      <c r="H8" s="343"/>
      <c r="I8" s="343"/>
      <c r="J8" s="343"/>
      <c r="K8" s="343"/>
      <c r="L8" s="343"/>
    </row>
    <row r="9" spans="1:12">
      <c r="A9" s="342" t="s">
        <v>375</v>
      </c>
      <c r="B9" s="342"/>
      <c r="C9" s="342"/>
      <c r="D9" s="342"/>
      <c r="E9" s="342"/>
      <c r="F9" s="342"/>
      <c r="G9" s="343"/>
      <c r="H9" s="343"/>
      <c r="I9" s="343"/>
      <c r="J9" s="343"/>
      <c r="K9" s="343"/>
      <c r="L9" s="343"/>
    </row>
    <row r="10" spans="1:12">
      <c r="A10" s="342"/>
      <c r="B10" s="342"/>
      <c r="C10" s="342"/>
      <c r="D10" s="342"/>
      <c r="E10" s="342"/>
      <c r="F10" s="342"/>
      <c r="G10" s="343"/>
      <c r="H10" s="343"/>
      <c r="I10" s="343"/>
      <c r="J10" s="343"/>
      <c r="K10" s="343"/>
      <c r="L10" s="343"/>
    </row>
    <row r="11" spans="1:12">
      <c r="A11" s="342"/>
      <c r="B11" s="342"/>
      <c r="C11" s="342"/>
      <c r="D11" s="342"/>
      <c r="E11" s="342"/>
      <c r="F11" s="342"/>
      <c r="G11" s="343"/>
      <c r="H11" s="343"/>
      <c r="I11" s="343"/>
      <c r="J11" s="343"/>
      <c r="K11" s="343"/>
      <c r="L11" s="343"/>
    </row>
    <row r="12" spans="1:12">
      <c r="A12" s="342" t="s">
        <v>376</v>
      </c>
      <c r="B12" s="342"/>
      <c r="C12" s="342"/>
      <c r="D12" s="342"/>
      <c r="E12" s="342"/>
      <c r="F12" s="342"/>
      <c r="G12" s="343"/>
      <c r="H12" s="343"/>
      <c r="I12" s="343"/>
      <c r="J12" s="343"/>
      <c r="K12" s="343"/>
      <c r="L12" s="343"/>
    </row>
    <row r="13" spans="1:12">
      <c r="A13" s="342"/>
      <c r="B13" s="342"/>
      <c r="C13" s="342"/>
      <c r="D13" s="342"/>
      <c r="E13" s="342"/>
      <c r="F13" s="342"/>
      <c r="G13" s="343"/>
      <c r="H13" s="343"/>
      <c r="I13" s="343"/>
      <c r="J13" s="343"/>
      <c r="K13" s="343"/>
      <c r="L13" s="343"/>
    </row>
    <row r="14" spans="1:12">
      <c r="A14" s="342"/>
      <c r="B14" s="342"/>
      <c r="C14" s="342"/>
      <c r="D14" s="342"/>
      <c r="E14" s="342"/>
      <c r="F14" s="342"/>
      <c r="G14" s="343"/>
      <c r="H14" s="343"/>
      <c r="I14" s="343"/>
      <c r="J14" s="343"/>
      <c r="K14" s="343"/>
      <c r="L14" s="343"/>
    </row>
    <row r="15" spans="1:12">
      <c r="A15" s="342"/>
      <c r="B15" s="342"/>
      <c r="C15" s="342"/>
      <c r="D15" s="342"/>
      <c r="E15" s="342"/>
      <c r="F15" s="342"/>
      <c r="G15" s="343"/>
      <c r="H15" s="343"/>
      <c r="I15" s="343"/>
      <c r="J15" s="343"/>
      <c r="K15" s="343"/>
      <c r="L15" s="343"/>
    </row>
    <row r="16" spans="1:12">
      <c r="A16" s="342"/>
      <c r="B16" s="342"/>
      <c r="C16" s="342"/>
      <c r="D16" s="342"/>
      <c r="E16" s="342"/>
      <c r="F16" s="342"/>
      <c r="G16" s="343"/>
      <c r="H16" s="343"/>
      <c r="I16" s="343"/>
      <c r="J16" s="343"/>
      <c r="K16" s="343"/>
      <c r="L16" s="343"/>
    </row>
    <row r="17" spans="1:12">
      <c r="A17" s="342"/>
      <c r="B17" s="342"/>
      <c r="C17" s="342"/>
      <c r="D17" s="342"/>
      <c r="E17" s="342"/>
      <c r="F17" s="342"/>
      <c r="G17" s="343"/>
      <c r="H17" s="343"/>
      <c r="I17" s="343"/>
      <c r="J17" s="343"/>
      <c r="K17" s="343"/>
      <c r="L17" s="343"/>
    </row>
    <row r="18" spans="1:12" s="244" customFormat="1">
      <c r="A18" s="342" t="s">
        <v>378</v>
      </c>
      <c r="B18" s="342"/>
      <c r="C18" s="342"/>
      <c r="D18" s="342"/>
      <c r="E18" s="342"/>
      <c r="F18" s="342"/>
      <c r="G18" s="343"/>
      <c r="H18" s="343"/>
      <c r="I18" s="343"/>
      <c r="J18" s="343"/>
      <c r="K18" s="343"/>
      <c r="L18" s="343"/>
    </row>
    <row r="19" spans="1:12">
      <c r="A19" s="342"/>
      <c r="B19" s="342"/>
      <c r="C19" s="342"/>
      <c r="D19" s="342"/>
      <c r="E19" s="342"/>
      <c r="F19" s="342"/>
      <c r="G19" s="343"/>
      <c r="H19" s="343"/>
      <c r="I19" s="343"/>
      <c r="J19" s="343"/>
      <c r="K19" s="343"/>
      <c r="L19" s="343"/>
    </row>
    <row r="20" spans="1:12">
      <c r="A20" s="264" t="s">
        <v>377</v>
      </c>
      <c r="B20" s="268"/>
      <c r="C20" s="268"/>
      <c r="D20" s="268"/>
      <c r="E20" s="268"/>
      <c r="F20" s="268"/>
      <c r="G20" s="343"/>
      <c r="H20" s="343"/>
      <c r="I20" s="343"/>
      <c r="J20" s="343"/>
      <c r="K20" s="343"/>
      <c r="L20" s="343"/>
    </row>
    <row r="21" spans="1:12">
      <c r="A21" s="250"/>
      <c r="B21" s="250"/>
      <c r="C21" s="250"/>
      <c r="D21" s="250"/>
      <c r="E21" s="250"/>
      <c r="F21" s="250"/>
      <c r="G21" s="343"/>
      <c r="H21" s="343"/>
      <c r="I21" s="343"/>
      <c r="J21" s="343"/>
      <c r="K21" s="343"/>
      <c r="L21" s="343"/>
    </row>
    <row r="22" spans="1:12">
      <c r="A22" s="250"/>
      <c r="B22" s="250"/>
      <c r="C22" s="250"/>
      <c r="D22" s="250"/>
      <c r="E22" s="250"/>
      <c r="F22" s="250"/>
      <c r="G22" s="343"/>
      <c r="H22" s="343"/>
      <c r="I22" s="343"/>
      <c r="J22" s="343"/>
      <c r="K22" s="343"/>
      <c r="L22" s="343"/>
    </row>
    <row r="23" spans="1:12">
      <c r="A23" s="250"/>
      <c r="B23" s="250"/>
      <c r="C23" s="250"/>
      <c r="D23" s="250"/>
      <c r="E23" s="250"/>
      <c r="F23" s="250"/>
      <c r="G23" s="343"/>
      <c r="H23" s="343"/>
      <c r="I23" s="343"/>
      <c r="J23" s="343"/>
      <c r="K23" s="343"/>
      <c r="L23" s="343"/>
    </row>
    <row r="24" spans="1:12">
      <c r="A24" s="250"/>
      <c r="B24" s="250"/>
      <c r="C24" s="250"/>
      <c r="D24" s="250"/>
      <c r="E24" s="250"/>
      <c r="F24" s="250"/>
      <c r="G24" s="343"/>
      <c r="H24" s="343"/>
      <c r="I24" s="343"/>
      <c r="J24" s="343"/>
      <c r="K24" s="343"/>
      <c r="L24" s="343"/>
    </row>
    <row r="25" spans="1:12">
      <c r="A25" s="250"/>
      <c r="B25" s="250"/>
      <c r="C25" s="250"/>
      <c r="D25" s="250"/>
      <c r="E25" s="250"/>
      <c r="F25" s="250"/>
      <c r="G25" s="343"/>
      <c r="H25" s="343"/>
      <c r="I25" s="343"/>
      <c r="J25" s="343"/>
      <c r="K25" s="343"/>
      <c r="L25" s="343"/>
    </row>
    <row r="26" spans="1:12">
      <c r="A26" s="250"/>
      <c r="B26" s="250"/>
      <c r="C26" s="250"/>
      <c r="D26" s="250"/>
      <c r="E26" s="250"/>
      <c r="F26" s="250"/>
      <c r="G26" s="343"/>
      <c r="H26" s="343"/>
      <c r="I26" s="343"/>
      <c r="J26" s="343"/>
      <c r="K26" s="343"/>
      <c r="L26" s="343"/>
    </row>
    <row r="27" spans="1:12">
      <c r="A27" s="246"/>
      <c r="B27" s="245"/>
      <c r="C27" s="245"/>
      <c r="D27" s="245"/>
      <c r="E27" s="245"/>
      <c r="F27" s="245"/>
      <c r="G27" s="246"/>
      <c r="H27" s="245"/>
      <c r="I27" s="245"/>
      <c r="J27" s="245"/>
      <c r="K27" s="245"/>
      <c r="L27" s="245"/>
    </row>
    <row r="28" spans="1:12">
      <c r="A28" s="245"/>
      <c r="B28" s="245"/>
      <c r="C28" s="245"/>
      <c r="D28" s="245"/>
      <c r="E28" s="245"/>
      <c r="F28" s="245"/>
      <c r="G28" s="245"/>
      <c r="H28" s="245"/>
      <c r="I28" s="245"/>
      <c r="J28" s="245"/>
      <c r="K28" s="245"/>
      <c r="L28" s="245"/>
    </row>
    <row r="29" spans="1:12">
      <c r="A29" s="245"/>
      <c r="B29" s="245"/>
      <c r="C29" s="245"/>
      <c r="D29" s="245"/>
      <c r="E29" s="245"/>
      <c r="F29" s="245"/>
      <c r="G29" s="343"/>
      <c r="H29" s="343"/>
      <c r="I29" s="343"/>
      <c r="J29" s="343"/>
      <c r="K29" s="343"/>
      <c r="L29" s="343"/>
    </row>
    <row r="30" spans="1:12">
      <c r="A30" s="245"/>
      <c r="B30" s="245"/>
      <c r="C30" s="245"/>
      <c r="D30" s="245"/>
      <c r="E30" s="245"/>
      <c r="F30" s="245"/>
      <c r="G30" s="343"/>
      <c r="H30" s="343"/>
      <c r="I30" s="343"/>
      <c r="J30" s="343"/>
      <c r="K30" s="343"/>
      <c r="L30" s="343"/>
    </row>
    <row r="31" spans="1:12">
      <c r="A31" s="245"/>
      <c r="B31" s="245"/>
      <c r="C31" s="245"/>
      <c r="D31" s="245"/>
      <c r="E31" s="245"/>
      <c r="F31" s="245"/>
      <c r="G31" s="343"/>
      <c r="H31" s="343"/>
      <c r="I31" s="343"/>
      <c r="J31" s="343"/>
      <c r="K31" s="343"/>
      <c r="L31" s="343"/>
    </row>
    <row r="32" spans="1:12">
      <c r="A32" s="245"/>
      <c r="B32" s="245"/>
      <c r="C32" s="245"/>
      <c r="D32" s="245"/>
      <c r="E32" s="245"/>
      <c r="F32" s="245"/>
      <c r="G32" s="343"/>
      <c r="H32" s="343"/>
      <c r="I32" s="343"/>
      <c r="J32" s="343"/>
      <c r="K32" s="343"/>
      <c r="L32" s="343"/>
    </row>
    <row r="33" spans="1:12">
      <c r="A33" s="245"/>
      <c r="B33" s="245"/>
      <c r="C33" s="245"/>
      <c r="D33" s="245"/>
      <c r="E33" s="245"/>
      <c r="F33" s="245"/>
      <c r="G33" s="343"/>
      <c r="H33" s="343"/>
      <c r="I33" s="343"/>
      <c r="J33" s="343"/>
      <c r="K33" s="343"/>
      <c r="L33" s="343"/>
    </row>
    <row r="34" spans="1:12">
      <c r="A34" s="245"/>
      <c r="B34" s="245"/>
      <c r="C34" s="245"/>
      <c r="D34" s="245"/>
      <c r="E34" s="245"/>
      <c r="F34" s="245"/>
      <c r="G34" s="343"/>
      <c r="H34" s="343"/>
      <c r="I34" s="343"/>
      <c r="J34" s="343"/>
      <c r="K34" s="343"/>
      <c r="L34" s="343"/>
    </row>
    <row r="35" spans="1:12">
      <c r="A35" s="245"/>
      <c r="B35" s="245"/>
      <c r="C35" s="245"/>
      <c r="D35" s="245"/>
      <c r="E35" s="245"/>
      <c r="F35" s="245"/>
      <c r="G35" s="343"/>
      <c r="H35" s="343"/>
      <c r="I35" s="343"/>
      <c r="J35" s="343"/>
      <c r="K35" s="343"/>
      <c r="L35" s="343"/>
    </row>
    <row r="36" spans="1:12">
      <c r="A36" s="245"/>
      <c r="B36" s="245"/>
      <c r="C36" s="245"/>
      <c r="D36" s="245"/>
      <c r="E36" s="245"/>
      <c r="F36" s="245"/>
      <c r="G36" s="343"/>
      <c r="H36" s="343"/>
      <c r="I36" s="343"/>
      <c r="J36" s="343"/>
      <c r="K36" s="343"/>
      <c r="L36" s="343"/>
    </row>
    <row r="37" spans="1:12">
      <c r="A37" s="245"/>
      <c r="B37" s="245"/>
      <c r="C37" s="245"/>
      <c r="D37" s="245"/>
      <c r="E37" s="245"/>
      <c r="F37" s="245"/>
      <c r="G37" s="343"/>
      <c r="H37" s="343"/>
      <c r="I37" s="343"/>
      <c r="J37" s="343"/>
      <c r="K37" s="343"/>
      <c r="L37" s="343"/>
    </row>
    <row r="38" spans="1:12">
      <c r="A38" s="245"/>
      <c r="B38" s="245"/>
      <c r="C38" s="245"/>
      <c r="D38" s="245"/>
      <c r="E38" s="245"/>
      <c r="F38" s="245"/>
      <c r="G38" s="343"/>
      <c r="H38" s="343"/>
      <c r="I38" s="343"/>
      <c r="J38" s="343"/>
      <c r="K38" s="343"/>
      <c r="L38" s="343"/>
    </row>
    <row r="39" spans="1:12">
      <c r="A39" s="245"/>
      <c r="B39" s="245"/>
      <c r="C39" s="245"/>
      <c r="D39" s="245"/>
      <c r="E39" s="245"/>
      <c r="F39" s="245"/>
    </row>
    <row r="40" spans="1:12">
      <c r="A40" s="245"/>
      <c r="B40" s="245"/>
      <c r="C40" s="245"/>
      <c r="D40" s="245"/>
      <c r="E40" s="245"/>
      <c r="F40" s="245"/>
    </row>
    <row r="41" spans="1:12">
      <c r="A41" s="245"/>
      <c r="B41" s="245"/>
      <c r="C41" s="245"/>
      <c r="D41" s="245"/>
      <c r="E41" s="245"/>
      <c r="F41" s="245"/>
    </row>
    <row r="42" spans="1:12">
      <c r="A42" s="245"/>
      <c r="B42" s="245"/>
      <c r="C42" s="245"/>
      <c r="D42" s="245"/>
      <c r="E42" s="245"/>
      <c r="F42" s="245"/>
    </row>
    <row r="43" spans="1:12">
      <c r="A43" s="245"/>
      <c r="B43" s="245"/>
      <c r="C43" s="245"/>
      <c r="D43" s="245"/>
      <c r="E43" s="245"/>
      <c r="F43" s="245"/>
    </row>
    <row r="44" spans="1:12">
      <c r="A44" s="245"/>
      <c r="B44" s="245"/>
      <c r="C44" s="245"/>
      <c r="D44" s="245"/>
      <c r="E44" s="245"/>
      <c r="F44" s="245"/>
    </row>
    <row r="45" spans="1:12">
      <c r="A45" s="245"/>
      <c r="B45" s="245"/>
      <c r="C45" s="245"/>
      <c r="D45" s="245"/>
      <c r="E45" s="245"/>
      <c r="F45" s="245"/>
    </row>
    <row r="46" spans="1:12">
      <c r="A46" s="245"/>
      <c r="B46" s="245"/>
      <c r="C46" s="245"/>
      <c r="D46" s="245"/>
      <c r="E46" s="245"/>
      <c r="F46" s="245"/>
    </row>
    <row r="47" spans="1:12">
      <c r="A47" s="245"/>
      <c r="B47" s="245"/>
      <c r="C47" s="245"/>
      <c r="D47" s="245"/>
      <c r="E47" s="245"/>
      <c r="F47" s="245"/>
    </row>
    <row r="48" spans="1:12">
      <c r="A48" s="245"/>
      <c r="B48" s="245"/>
      <c r="C48" s="245"/>
      <c r="D48" s="245"/>
      <c r="E48" s="245"/>
      <c r="F48" s="245"/>
    </row>
    <row r="49" spans="1:6">
      <c r="A49" s="245"/>
      <c r="B49" s="245"/>
      <c r="C49" s="245"/>
      <c r="D49" s="245"/>
      <c r="E49" s="245"/>
      <c r="F49" s="245"/>
    </row>
    <row r="50" spans="1:6">
      <c r="A50" s="245"/>
      <c r="B50" s="245"/>
      <c r="C50" s="245"/>
      <c r="D50" s="245"/>
      <c r="E50" s="245"/>
      <c r="F50" s="245"/>
    </row>
    <row r="51" spans="1:6">
      <c r="A51" s="245"/>
      <c r="B51" s="245"/>
      <c r="C51" s="245"/>
      <c r="D51" s="245"/>
      <c r="E51" s="245"/>
      <c r="F51" s="245"/>
    </row>
    <row r="52" spans="1:6">
      <c r="A52" s="245"/>
      <c r="B52" s="245"/>
      <c r="C52" s="245"/>
      <c r="D52" s="245"/>
      <c r="E52" s="245"/>
      <c r="F52" s="245"/>
    </row>
    <row r="53" spans="1:6">
      <c r="A53" s="245"/>
      <c r="B53" s="245"/>
      <c r="C53" s="245"/>
      <c r="D53" s="245"/>
      <c r="E53" s="245"/>
      <c r="F53" s="245"/>
    </row>
    <row r="54" spans="1:6">
      <c r="A54" s="245"/>
      <c r="B54" s="245"/>
      <c r="C54" s="245"/>
      <c r="D54" s="245"/>
      <c r="E54" s="245"/>
      <c r="F54" s="245"/>
    </row>
    <row r="55" spans="1:6">
      <c r="A55" s="245"/>
      <c r="B55" s="245"/>
      <c r="C55" s="245"/>
      <c r="D55" s="245"/>
      <c r="E55" s="245"/>
      <c r="F55" s="245"/>
    </row>
    <row r="56" spans="1:6">
      <c r="A56" s="245"/>
      <c r="B56" s="245"/>
      <c r="C56" s="245"/>
      <c r="D56" s="245"/>
      <c r="E56" s="245"/>
      <c r="F56" s="245"/>
    </row>
    <row r="57" spans="1:6">
      <c r="A57" s="245"/>
      <c r="B57" s="245"/>
      <c r="C57" s="245"/>
      <c r="D57" s="245"/>
      <c r="E57" s="245"/>
      <c r="F57" s="245"/>
    </row>
    <row r="58" spans="1:6">
      <c r="A58" s="245"/>
      <c r="B58" s="245"/>
      <c r="C58" s="245"/>
      <c r="D58" s="245"/>
      <c r="E58" s="245"/>
      <c r="F58" s="245"/>
    </row>
    <row r="59" spans="1:6">
      <c r="A59" s="245"/>
      <c r="B59" s="245"/>
      <c r="C59" s="245"/>
      <c r="D59" s="245"/>
      <c r="E59" s="245"/>
      <c r="F59" s="245"/>
    </row>
    <row r="60" spans="1:6">
      <c r="A60" s="245"/>
      <c r="B60" s="245"/>
      <c r="C60" s="245"/>
      <c r="D60" s="245"/>
      <c r="E60" s="245"/>
      <c r="F60" s="245"/>
    </row>
    <row r="61" spans="1:6">
      <c r="A61" s="245"/>
      <c r="B61" s="245"/>
      <c r="C61" s="245"/>
      <c r="D61" s="245"/>
      <c r="E61" s="245"/>
      <c r="F61" s="245"/>
    </row>
    <row r="62" spans="1:6">
      <c r="A62" s="245"/>
      <c r="B62" s="245"/>
      <c r="C62" s="245"/>
      <c r="D62" s="245"/>
      <c r="E62" s="245"/>
      <c r="F62" s="245"/>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31.03.2022&amp;C&amp;8&amp;P&amp;R&amp;8______________________________________________________
</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40625" defaultRowHeight="12"/>
  <cols>
    <col min="1" max="1" width="24.28515625" style="11" customWidth="1"/>
    <col min="2" max="4" width="8.7109375" style="47" customWidth="1"/>
    <col min="5" max="21" width="8.7109375" style="11" customWidth="1"/>
    <col min="22" max="16384" width="9.140625" style="11"/>
  </cols>
  <sheetData>
    <row r="3" spans="1:24" ht="15" customHeight="1">
      <c r="A3" s="45"/>
      <c r="E3" s="47"/>
      <c r="I3" s="344"/>
      <c r="J3" s="344"/>
      <c r="K3" s="344"/>
      <c r="L3" s="344"/>
      <c r="M3" s="344"/>
      <c r="N3" s="344"/>
      <c r="O3" s="344"/>
      <c r="P3" s="344"/>
      <c r="Q3" s="344"/>
      <c r="R3" s="344"/>
    </row>
    <row r="4" spans="1:24" ht="15" customHeight="1">
      <c r="A4" s="43"/>
      <c r="B4" s="61" t="s">
        <v>64</v>
      </c>
      <c r="C4" s="107" t="s">
        <v>65</v>
      </c>
      <c r="D4" s="107" t="s">
        <v>66</v>
      </c>
      <c r="E4" s="107" t="s">
        <v>67</v>
      </c>
      <c r="F4" s="61" t="s">
        <v>68</v>
      </c>
      <c r="G4" s="61" t="s">
        <v>69</v>
      </c>
      <c r="H4" s="61" t="s">
        <v>111</v>
      </c>
      <c r="I4" s="61" t="s">
        <v>125</v>
      </c>
      <c r="J4" s="61" t="s">
        <v>131</v>
      </c>
      <c r="K4" s="61" t="s">
        <v>156</v>
      </c>
      <c r="L4" s="61" t="s">
        <v>230</v>
      </c>
      <c r="M4" s="61" t="s">
        <v>234</v>
      </c>
      <c r="N4" s="61" t="s">
        <v>261</v>
      </c>
      <c r="O4" s="61" t="s">
        <v>279</v>
      </c>
      <c r="P4" s="61" t="s">
        <v>279</v>
      </c>
      <c r="Q4" s="61"/>
      <c r="R4" s="61"/>
      <c r="S4" s="61"/>
      <c r="T4" s="61"/>
    </row>
    <row r="5" spans="1:24">
      <c r="A5" s="43" t="s">
        <v>126</v>
      </c>
      <c r="B5" s="110" t="e">
        <f>#REF!</f>
        <v>#REF!</v>
      </c>
      <c r="C5" s="110" t="e">
        <f>#REF!</f>
        <v>#REF!</v>
      </c>
      <c r="D5" s="110" t="e">
        <f>#REF!</f>
        <v>#REF!</v>
      </c>
      <c r="E5" s="110" t="e">
        <f>#REF!</f>
        <v>#REF!</v>
      </c>
      <c r="F5" s="110" t="e">
        <f>#REF!</f>
        <v>#REF!</v>
      </c>
      <c r="G5" s="110" t="e">
        <f>#REF!</f>
        <v>#REF!</v>
      </c>
      <c r="H5" s="110" t="e">
        <f>#REF!</f>
        <v>#REF!</v>
      </c>
      <c r="I5" s="110" t="e">
        <f>#REF!</f>
        <v>#REF!</v>
      </c>
      <c r="J5" s="110" t="e">
        <f>#REF!</f>
        <v>#REF!</v>
      </c>
      <c r="K5" s="110" t="e">
        <f>#REF!</f>
        <v>#REF!</v>
      </c>
      <c r="L5" s="110" t="e">
        <f>#REF!</f>
        <v>#REF!</v>
      </c>
      <c r="M5" s="110" t="e">
        <f>#REF!</f>
        <v>#REF!</v>
      </c>
      <c r="N5" s="110" t="e">
        <f>#REF!</f>
        <v>#REF!</v>
      </c>
      <c r="O5" s="110"/>
      <c r="P5" s="60"/>
      <c r="Q5" s="60"/>
      <c r="R5" s="60"/>
      <c r="S5" s="60"/>
      <c r="T5" s="106"/>
    </row>
    <row r="6" spans="1:24">
      <c r="A6" s="43" t="s">
        <v>127</v>
      </c>
      <c r="B6" s="110" t="e">
        <f>#REF!</f>
        <v>#REF!</v>
      </c>
      <c r="C6" s="110" t="e">
        <f>#REF!</f>
        <v>#REF!</v>
      </c>
      <c r="D6" s="110" t="e">
        <f>#REF!</f>
        <v>#REF!</v>
      </c>
      <c r="E6" s="110" t="e">
        <f>#REF!</f>
        <v>#REF!</v>
      </c>
      <c r="F6" s="110" t="e">
        <f>#REF!</f>
        <v>#REF!</v>
      </c>
      <c r="G6" s="110" t="e">
        <f>#REF!</f>
        <v>#REF!</v>
      </c>
      <c r="H6" s="110" t="e">
        <f>#REF!</f>
        <v>#REF!</v>
      </c>
      <c r="I6" s="110" t="e">
        <f>#REF!</f>
        <v>#REF!</v>
      </c>
      <c r="J6" s="110" t="e">
        <f>#REF!</f>
        <v>#REF!</v>
      </c>
      <c r="K6" s="110" t="e">
        <f>#REF!</f>
        <v>#REF!</v>
      </c>
      <c r="L6" s="110" t="e">
        <f>#REF!</f>
        <v>#REF!</v>
      </c>
      <c r="M6" s="110" t="e">
        <f>#REF!</f>
        <v>#REF!</v>
      </c>
      <c r="N6" s="110" t="e">
        <f>#REF!</f>
        <v>#REF!</v>
      </c>
      <c r="O6" s="110"/>
      <c r="P6" s="60"/>
      <c r="Q6" s="60"/>
      <c r="R6" s="60"/>
      <c r="S6" s="60"/>
      <c r="T6" s="106"/>
    </row>
    <row r="7" spans="1:24">
      <c r="A7" s="43" t="s">
        <v>9</v>
      </c>
      <c r="B7" s="110" t="e">
        <f>#REF!</f>
        <v>#REF!</v>
      </c>
      <c r="C7" s="110" t="e">
        <f>#REF!</f>
        <v>#REF!</v>
      </c>
      <c r="D7" s="110" t="e">
        <f>#REF!</f>
        <v>#REF!</v>
      </c>
      <c r="E7" s="110" t="e">
        <f>#REF!</f>
        <v>#REF!</v>
      </c>
      <c r="F7" s="110" t="e">
        <f>#REF!</f>
        <v>#REF!</v>
      </c>
      <c r="G7" s="110" t="e">
        <f>#REF!</f>
        <v>#REF!</v>
      </c>
      <c r="H7" s="110" t="e">
        <f>#REF!</f>
        <v>#REF!</v>
      </c>
      <c r="I7" s="110" t="e">
        <f>#REF!</f>
        <v>#REF!</v>
      </c>
      <c r="J7" s="110" t="e">
        <f>#REF!</f>
        <v>#REF!</v>
      </c>
      <c r="K7" s="110" t="e">
        <f>#REF!</f>
        <v>#REF!</v>
      </c>
      <c r="L7" s="110" t="e">
        <f>#REF!</f>
        <v>#REF!</v>
      </c>
      <c r="M7" s="110" t="e">
        <f>#REF!</f>
        <v>#REF!</v>
      </c>
      <c r="N7" s="110" t="e">
        <f>#REF!</f>
        <v>#REF!</v>
      </c>
      <c r="O7" s="110"/>
      <c r="P7" s="60"/>
      <c r="Q7" s="60"/>
      <c r="R7" s="60"/>
      <c r="S7" s="60"/>
    </row>
    <row r="8" spans="1:24">
      <c r="A8" s="43"/>
      <c r="C8" s="49"/>
      <c r="D8" s="112"/>
      <c r="E8" s="48"/>
      <c r="F8" s="47"/>
      <c r="G8" s="48"/>
      <c r="H8" s="48"/>
      <c r="I8" s="110"/>
      <c r="J8" s="47"/>
      <c r="K8" s="47"/>
      <c r="L8" s="47"/>
      <c r="M8" s="47"/>
      <c r="N8" s="47"/>
      <c r="O8" s="47"/>
    </row>
    <row r="9" spans="1:24">
      <c r="A9" s="43" t="s">
        <v>128</v>
      </c>
      <c r="B9" s="110" t="e">
        <f>#REF!</f>
        <v>#REF!</v>
      </c>
      <c r="C9" s="110" t="e">
        <f>#REF!</f>
        <v>#REF!</v>
      </c>
      <c r="D9" s="110" t="e">
        <f>#REF!</f>
        <v>#REF!</v>
      </c>
      <c r="E9" s="110" t="e">
        <f>#REF!</f>
        <v>#REF!</v>
      </c>
      <c r="F9" s="110" t="e">
        <f>#REF!</f>
        <v>#REF!</v>
      </c>
      <c r="G9" s="110" t="e">
        <f>#REF!</f>
        <v>#REF!</v>
      </c>
      <c r="H9" s="110" t="e">
        <f>#REF!</f>
        <v>#REF!</v>
      </c>
      <c r="I9" s="110" t="e">
        <f>#REF!</f>
        <v>#REF!</v>
      </c>
      <c r="J9" s="110" t="e">
        <f>#REF!</f>
        <v>#REF!</v>
      </c>
      <c r="K9" s="110" t="e">
        <f>#REF!</f>
        <v>#REF!</v>
      </c>
      <c r="L9" s="110" t="e">
        <f>#REF!</f>
        <v>#REF!</v>
      </c>
      <c r="M9" s="110" t="e">
        <f>#REF!</f>
        <v>#REF!</v>
      </c>
      <c r="N9" s="110" t="e">
        <f>#REF!</f>
        <v>#REF!</v>
      </c>
      <c r="O9" s="110"/>
      <c r="P9" s="13"/>
      <c r="Q9" s="13"/>
      <c r="R9" s="13"/>
    </row>
    <row r="10" spans="1:24">
      <c r="A10" s="43" t="s">
        <v>129</v>
      </c>
      <c r="B10" s="110" t="e">
        <f>#REF!</f>
        <v>#REF!</v>
      </c>
      <c r="C10" s="110" t="e">
        <f>#REF!</f>
        <v>#REF!</v>
      </c>
      <c r="D10" s="110" t="e">
        <f>#REF!</f>
        <v>#REF!</v>
      </c>
      <c r="E10" s="110" t="e">
        <f>#REF!</f>
        <v>#REF!</v>
      </c>
      <c r="F10" s="110" t="e">
        <f>#REF!</f>
        <v>#REF!</v>
      </c>
      <c r="G10" s="110" t="e">
        <f>#REF!</f>
        <v>#REF!</v>
      </c>
      <c r="H10" s="110" t="e">
        <f>#REF!</f>
        <v>#REF!</v>
      </c>
      <c r="I10" s="110" t="e">
        <f>#REF!</f>
        <v>#REF!</v>
      </c>
      <c r="J10" s="110" t="e">
        <f>#REF!</f>
        <v>#REF!</v>
      </c>
      <c r="K10" s="110" t="e">
        <f>#REF!</f>
        <v>#REF!</v>
      </c>
      <c r="L10" s="110" t="e">
        <f>#REF!</f>
        <v>#REF!</v>
      </c>
      <c r="M10" s="110" t="e">
        <f>#REF!</f>
        <v>#REF!</v>
      </c>
      <c r="N10" s="110" t="e">
        <f>#REF!</f>
        <v>#REF!</v>
      </c>
      <c r="O10" s="110"/>
      <c r="P10" s="13"/>
      <c r="Q10" s="13"/>
      <c r="R10" s="13"/>
      <c r="X10" s="46"/>
    </row>
    <row r="11" spans="1:24">
      <c r="A11" s="43"/>
      <c r="C11" s="49"/>
      <c r="D11" s="112"/>
      <c r="E11" s="48"/>
      <c r="F11" s="47"/>
      <c r="G11" s="48"/>
      <c r="H11" s="48"/>
      <c r="I11" s="47"/>
      <c r="J11" s="47"/>
      <c r="K11" s="47"/>
      <c r="L11" s="47"/>
      <c r="M11" s="47"/>
      <c r="N11" s="47"/>
      <c r="O11" s="47"/>
      <c r="X11" s="46"/>
    </row>
    <row r="12" spans="1:24">
      <c r="A12" s="43" t="s">
        <v>76</v>
      </c>
      <c r="B12" s="111" t="e">
        <f>#REF!</f>
        <v>#REF!</v>
      </c>
      <c r="C12" s="111" t="e">
        <f>#REF!</f>
        <v>#REF!</v>
      </c>
      <c r="D12" s="111" t="e">
        <f>#REF!</f>
        <v>#REF!</v>
      </c>
      <c r="E12" s="111" t="e">
        <f>#REF!</f>
        <v>#REF!</v>
      </c>
      <c r="F12" s="111" t="e">
        <f>#REF!</f>
        <v>#REF!</v>
      </c>
      <c r="G12" s="111" t="e">
        <f>#REF!</f>
        <v>#REF!</v>
      </c>
      <c r="H12" s="111" t="e">
        <f>#REF!</f>
        <v>#REF!</v>
      </c>
      <c r="I12" s="111" t="e">
        <f>#REF!</f>
        <v>#REF!</v>
      </c>
      <c r="J12" s="111" t="e">
        <f>#REF!</f>
        <v>#REF!</v>
      </c>
      <c r="K12" s="111" t="e">
        <f>#REF!</f>
        <v>#REF!</v>
      </c>
      <c r="L12" s="111" t="e">
        <f>#REF!</f>
        <v>#REF!</v>
      </c>
      <c r="M12" s="111" t="e">
        <f>#REF!</f>
        <v>#REF!</v>
      </c>
      <c r="N12" s="111" t="e">
        <f>#REF!</f>
        <v>#REF!</v>
      </c>
      <c r="O12" s="111"/>
    </row>
    <row r="13" spans="1:24">
      <c r="B13" s="49"/>
      <c r="C13" s="49"/>
      <c r="D13" s="112"/>
      <c r="E13" s="48"/>
      <c r="F13" s="49"/>
      <c r="G13" s="48"/>
      <c r="H13" s="48"/>
      <c r="I13" s="47"/>
      <c r="J13" s="47"/>
      <c r="K13" s="47"/>
      <c r="L13" s="47"/>
      <c r="M13" s="47"/>
      <c r="N13" s="47"/>
      <c r="O13" s="47"/>
      <c r="X13" s="46"/>
    </row>
    <row r="14" spans="1:24">
      <c r="A14" s="43" t="s">
        <v>77</v>
      </c>
      <c r="B14" s="110" t="e">
        <f>#REF!</f>
        <v>#REF!</v>
      </c>
      <c r="C14" s="110" t="e">
        <f>#REF!</f>
        <v>#REF!</v>
      </c>
      <c r="D14" s="110" t="e">
        <f>#REF!</f>
        <v>#REF!</v>
      </c>
      <c r="E14" s="110" t="e">
        <f>#REF!</f>
        <v>#REF!</v>
      </c>
      <c r="F14" s="110" t="e">
        <f>#REF!</f>
        <v>#REF!</v>
      </c>
      <c r="G14" s="110" t="e">
        <f>#REF!</f>
        <v>#REF!</v>
      </c>
      <c r="H14" s="110" t="e">
        <f>#REF!</f>
        <v>#REF!</v>
      </c>
      <c r="I14" s="110" t="e">
        <f>#REF!</f>
        <v>#REF!</v>
      </c>
      <c r="J14" s="110" t="e">
        <f>#REF!</f>
        <v>#REF!</v>
      </c>
      <c r="K14" s="110" t="e">
        <f>#REF!</f>
        <v>#REF!</v>
      </c>
      <c r="L14" s="110" t="e">
        <f>#REF!</f>
        <v>#REF!</v>
      </c>
      <c r="M14" s="110" t="e">
        <f>#REF!</f>
        <v>#REF!</v>
      </c>
      <c r="N14" s="110" t="e">
        <f>#REF!</f>
        <v>#REF!</v>
      </c>
      <c r="O14" s="110"/>
      <c r="X14" s="46"/>
    </row>
    <row r="15" spans="1:24">
      <c r="A15" s="43" t="s">
        <v>143</v>
      </c>
      <c r="B15" s="110" t="e">
        <f>#REF!</f>
        <v>#REF!</v>
      </c>
      <c r="C15" s="110" t="e">
        <f>#REF!</f>
        <v>#REF!</v>
      </c>
      <c r="D15" s="110" t="e">
        <f>#REF!</f>
        <v>#REF!</v>
      </c>
      <c r="E15" s="110" t="e">
        <f>#REF!</f>
        <v>#REF!</v>
      </c>
      <c r="F15" s="110" t="e">
        <f>#REF!</f>
        <v>#REF!</v>
      </c>
      <c r="G15" s="110" t="e">
        <f>#REF!</f>
        <v>#REF!</v>
      </c>
      <c r="H15" s="110" t="e">
        <f>#REF!</f>
        <v>#REF!</v>
      </c>
      <c r="I15" s="110" t="e">
        <f>#REF!</f>
        <v>#REF!</v>
      </c>
      <c r="J15" s="110" t="e">
        <f>#REF!</f>
        <v>#REF!</v>
      </c>
      <c r="K15" s="110" t="e">
        <f>#REF!</f>
        <v>#REF!</v>
      </c>
      <c r="L15" s="110" t="e">
        <f>#REF!</f>
        <v>#REF!</v>
      </c>
      <c r="M15" s="110" t="e">
        <f>#REF!</f>
        <v>#REF!</v>
      </c>
      <c r="N15" s="110" t="e">
        <f>#REF!</f>
        <v>#REF!</v>
      </c>
      <c r="O15" s="110"/>
      <c r="X15" s="46"/>
    </row>
    <row r="16" spans="1:24">
      <c r="A16" s="43"/>
      <c r="C16" s="49"/>
      <c r="D16" s="112"/>
      <c r="E16" s="48"/>
      <c r="F16" s="49"/>
      <c r="G16" s="48"/>
      <c r="H16" s="48"/>
      <c r="I16" s="47"/>
      <c r="J16" s="47"/>
      <c r="K16" s="47"/>
      <c r="L16" s="47"/>
      <c r="M16" s="47"/>
      <c r="N16" s="47"/>
      <c r="O16" s="47"/>
      <c r="X16" s="46"/>
    </row>
    <row r="17" spans="1:24">
      <c r="A17" s="43" t="s">
        <v>61</v>
      </c>
      <c r="B17" s="110" t="e">
        <f>#REF!</f>
        <v>#REF!</v>
      </c>
      <c r="C17" s="110" t="e">
        <f>#REF!</f>
        <v>#REF!</v>
      </c>
      <c r="D17" s="110" t="e">
        <f>#REF!</f>
        <v>#REF!</v>
      </c>
      <c r="E17" s="110" t="e">
        <f>#REF!</f>
        <v>#REF!</v>
      </c>
      <c r="F17" s="110" t="e">
        <f>#REF!</f>
        <v>#REF!</v>
      </c>
      <c r="G17" s="110" t="e">
        <f>#REF!</f>
        <v>#REF!</v>
      </c>
      <c r="H17" s="110" t="e">
        <f>#REF!</f>
        <v>#REF!</v>
      </c>
      <c r="I17" s="110" t="e">
        <f>#REF!</f>
        <v>#REF!</v>
      </c>
      <c r="J17" s="110" t="e">
        <f>#REF!</f>
        <v>#REF!</v>
      </c>
      <c r="K17" s="110" t="e">
        <f>#REF!</f>
        <v>#REF!</v>
      </c>
      <c r="L17" s="110" t="e">
        <f>#REF!</f>
        <v>#REF!</v>
      </c>
      <c r="M17" s="110" t="e">
        <f>#REF!</f>
        <v>#REF!</v>
      </c>
      <c r="N17" s="110" t="e">
        <f>#REF!</f>
        <v>#REF!</v>
      </c>
      <c r="O17" s="110"/>
    </row>
    <row r="18" spans="1:24">
      <c r="A18" s="43" t="s">
        <v>35</v>
      </c>
      <c r="B18" s="110" t="e">
        <f>#REF!</f>
        <v>#REF!</v>
      </c>
      <c r="C18" s="110" t="e">
        <f>#REF!</f>
        <v>#REF!</v>
      </c>
      <c r="D18" s="110" t="e">
        <f>#REF!</f>
        <v>#REF!</v>
      </c>
      <c r="E18" s="110" t="e">
        <f>#REF!</f>
        <v>#REF!</v>
      </c>
      <c r="F18" s="110" t="e">
        <f>#REF!</f>
        <v>#REF!</v>
      </c>
      <c r="G18" s="110" t="e">
        <f>#REF!</f>
        <v>#REF!</v>
      </c>
      <c r="H18" s="110" t="e">
        <f>#REF!</f>
        <v>#REF!</v>
      </c>
      <c r="I18" s="110" t="e">
        <f>#REF!</f>
        <v>#REF!</v>
      </c>
      <c r="J18" s="110" t="e">
        <f>#REF!</f>
        <v>#REF!</v>
      </c>
      <c r="K18" s="110" t="e">
        <f>#REF!</f>
        <v>#REF!</v>
      </c>
      <c r="L18" s="110" t="e">
        <f>#REF!</f>
        <v>#REF!</v>
      </c>
      <c r="M18" s="110" t="e">
        <f>#REF!</f>
        <v>#REF!</v>
      </c>
      <c r="N18" s="110" t="e">
        <f>#REF!</f>
        <v>#REF!</v>
      </c>
      <c r="O18" s="110"/>
    </row>
    <row r="19" spans="1:24">
      <c r="A19" s="11" t="s">
        <v>41</v>
      </c>
      <c r="B19" s="109" t="e">
        <f>#REF!</f>
        <v>#REF!</v>
      </c>
      <c r="C19" s="109" t="e">
        <f>#REF!</f>
        <v>#REF!</v>
      </c>
      <c r="D19" s="109" t="e">
        <f>#REF!</f>
        <v>#REF!</v>
      </c>
      <c r="E19" s="109" t="e">
        <f>#REF!</f>
        <v>#REF!</v>
      </c>
      <c r="F19" s="109" t="e">
        <f>#REF!</f>
        <v>#REF!</v>
      </c>
      <c r="G19" s="109" t="e">
        <f>#REF!</f>
        <v>#REF!</v>
      </c>
      <c r="H19" s="109" t="e">
        <f>#REF!</f>
        <v>#REF!</v>
      </c>
      <c r="I19" s="109" t="e">
        <f>#REF!</f>
        <v>#REF!</v>
      </c>
      <c r="J19" s="109" t="e">
        <f>#REF!</f>
        <v>#REF!</v>
      </c>
      <c r="K19" s="109" t="e">
        <f>#REF!</f>
        <v>#REF!</v>
      </c>
      <c r="L19" s="109" t="e">
        <f>#REF!</f>
        <v>#REF!</v>
      </c>
      <c r="M19" s="109" t="e">
        <f>#REF!</f>
        <v>#REF!</v>
      </c>
      <c r="N19" s="109" t="e">
        <f>#REF!</f>
        <v>#REF!</v>
      </c>
      <c r="O19" s="109"/>
    </row>
    <row r="20" spans="1:24">
      <c r="A20" s="11" t="s">
        <v>240</v>
      </c>
      <c r="B20" s="109" t="e">
        <f>#REF!</f>
        <v>#REF!</v>
      </c>
      <c r="C20" s="109" t="e">
        <f>#REF!</f>
        <v>#REF!</v>
      </c>
      <c r="D20" s="109" t="e">
        <f>#REF!</f>
        <v>#REF!</v>
      </c>
      <c r="E20" s="109" t="e">
        <f>#REF!</f>
        <v>#REF!</v>
      </c>
      <c r="F20" s="109" t="e">
        <f>#REF!</f>
        <v>#REF!</v>
      </c>
      <c r="G20" s="109" t="e">
        <f>#REF!</f>
        <v>#REF!</v>
      </c>
      <c r="H20" s="109" t="e">
        <f>#REF!</f>
        <v>#REF!</v>
      </c>
      <c r="I20" s="109" t="e">
        <f>#REF!</f>
        <v>#REF!</v>
      </c>
      <c r="J20" s="109" t="e">
        <f>#REF!</f>
        <v>#REF!</v>
      </c>
      <c r="K20" s="109" t="e">
        <f>#REF!</f>
        <v>#REF!</v>
      </c>
      <c r="L20" s="109" t="e">
        <f>#REF!</f>
        <v>#REF!</v>
      </c>
      <c r="M20" s="109" t="e">
        <f>#REF!</f>
        <v>#REF!</v>
      </c>
      <c r="N20" s="109" t="e">
        <f>#REF!</f>
        <v>#REF!</v>
      </c>
    </row>
    <row r="21" spans="1:24">
      <c r="A21" s="92" t="s">
        <v>150</v>
      </c>
      <c r="E21" s="47"/>
      <c r="F21" s="47"/>
      <c r="G21" s="48"/>
      <c r="H21" s="48"/>
      <c r="I21" s="110"/>
      <c r="J21" s="47"/>
    </row>
    <row r="22" spans="1:24">
      <c r="A22" s="11" t="s">
        <v>144</v>
      </c>
      <c r="C22" s="113">
        <f>'LB_Q old'!D121</f>
        <v>198451</v>
      </c>
      <c r="D22" s="113">
        <f>'LB_Q old'!E121</f>
        <v>199339.59742699997</v>
      </c>
      <c r="E22" s="113">
        <f>'LB_Q old'!F121</f>
        <v>165270</v>
      </c>
      <c r="F22" s="113">
        <f>'LB_Q old'!G121</f>
        <v>66799</v>
      </c>
      <c r="G22" s="113">
        <f>'LB_Q old'!H121</f>
        <v>63982</v>
      </c>
      <c r="H22" s="113">
        <f>'LB_Q old'!I121</f>
        <v>72304</v>
      </c>
      <c r="I22" s="113">
        <f>'LB_Q old'!J121</f>
        <v>68693</v>
      </c>
      <c r="J22" s="113">
        <f>'LB_Q old'!K121</f>
        <v>66619</v>
      </c>
      <c r="K22" s="113">
        <f>'LB_Q old'!L121</f>
        <v>49997</v>
      </c>
      <c r="L22" s="113">
        <f>'LB_Q old'!M121</f>
        <v>38564</v>
      </c>
      <c r="M22" s="113">
        <f>'LB_Q old'!N121</f>
        <v>31555</v>
      </c>
      <c r="N22" s="113">
        <f>'LB_Q old'!O121</f>
        <v>27866</v>
      </c>
      <c r="O22" s="113"/>
      <c r="X22" s="46"/>
    </row>
    <row r="23" spans="1:24">
      <c r="A23" s="11" t="s">
        <v>145</v>
      </c>
      <c r="C23" s="113">
        <f>'LB_Q old'!D122</f>
        <v>44239</v>
      </c>
      <c r="D23" s="113">
        <f>'LB_Q old'!E122</f>
        <v>30579.656693361667</v>
      </c>
      <c r="E23" s="113">
        <f>'LB_Q old'!F122</f>
        <v>24789</v>
      </c>
      <c r="F23" s="113">
        <f>'LB_Q old'!G122</f>
        <v>19652</v>
      </c>
      <c r="G23" s="113">
        <f>'LB_Q old'!H122</f>
        <v>24684</v>
      </c>
      <c r="H23" s="113">
        <f>'LB_Q old'!I122</f>
        <v>24112</v>
      </c>
      <c r="I23" s="113">
        <f>'LB_Q old'!J122</f>
        <v>21061</v>
      </c>
      <c r="J23" s="113">
        <f>'LB_Q old'!K122</f>
        <v>17271</v>
      </c>
      <c r="K23" s="113">
        <f>'LB_Q old'!L122</f>
        <v>20574.054725999998</v>
      </c>
      <c r="L23" s="113">
        <f>'LB_Q old'!M122</f>
        <v>18949</v>
      </c>
      <c r="M23" s="113">
        <f>'LB_Q old'!N122</f>
        <v>16747</v>
      </c>
      <c r="N23" s="113">
        <f>'LB_Q old'!O122</f>
        <v>19360.249524309998</v>
      </c>
      <c r="O23" s="113"/>
    </row>
    <row r="24" spans="1:24">
      <c r="A24" s="92" t="s">
        <v>26</v>
      </c>
      <c r="B24" s="86">
        <f>SUM(B22:B23)</f>
        <v>0</v>
      </c>
      <c r="C24" s="86">
        <f t="shared" ref="C24:N24" si="0">SUM(C22:C23)</f>
        <v>242690</v>
      </c>
      <c r="D24" s="86">
        <f t="shared" si="0"/>
        <v>229919.25412036164</v>
      </c>
      <c r="E24" s="86">
        <f t="shared" si="0"/>
        <v>190059</v>
      </c>
      <c r="F24" s="86">
        <f t="shared" si="0"/>
        <v>86451</v>
      </c>
      <c r="G24" s="86">
        <f t="shared" si="0"/>
        <v>88666</v>
      </c>
      <c r="H24" s="86">
        <f t="shared" si="0"/>
        <v>96416</v>
      </c>
      <c r="I24" s="86">
        <f t="shared" si="0"/>
        <v>89754</v>
      </c>
      <c r="J24" s="86">
        <f t="shared" si="0"/>
        <v>83890</v>
      </c>
      <c r="K24" s="86">
        <f t="shared" si="0"/>
        <v>70571.054726000002</v>
      </c>
      <c r="L24" s="86">
        <f t="shared" si="0"/>
        <v>57513</v>
      </c>
      <c r="M24" s="86">
        <f>SUM(M22:M23)</f>
        <v>48302</v>
      </c>
      <c r="N24" s="86">
        <f t="shared" si="0"/>
        <v>47226.249524309998</v>
      </c>
      <c r="O24" s="86"/>
    </row>
    <row r="25" spans="1:24">
      <c r="A25" s="11" t="s">
        <v>146</v>
      </c>
      <c r="B25" s="114" t="e">
        <f>#REF!</f>
        <v>#REF!</v>
      </c>
      <c r="C25" s="114" t="e">
        <f>#REF!</f>
        <v>#REF!</v>
      </c>
      <c r="D25" s="114" t="e">
        <f>#REF!</f>
        <v>#REF!</v>
      </c>
      <c r="E25" s="114" t="e">
        <f>#REF!</f>
        <v>#REF!</v>
      </c>
      <c r="F25" s="114" t="e">
        <f>#REF!</f>
        <v>#REF!</v>
      </c>
      <c r="G25" s="114" t="e">
        <f>#REF!</f>
        <v>#REF!</v>
      </c>
      <c r="H25" s="114" t="e">
        <f>#REF!</f>
        <v>#REF!</v>
      </c>
      <c r="I25" s="114" t="e">
        <f>#REF!</f>
        <v>#REF!</v>
      </c>
      <c r="J25" s="114" t="e">
        <f>#REF!</f>
        <v>#REF!</v>
      </c>
      <c r="K25" s="114" t="e">
        <f>#REF!</f>
        <v>#REF!</v>
      </c>
      <c r="L25" s="114" t="e">
        <f>#REF!</f>
        <v>#REF!</v>
      </c>
      <c r="M25" s="114" t="e">
        <f>#REF!</f>
        <v>#REF!</v>
      </c>
      <c r="N25" s="114" t="e">
        <f>#REF!</f>
        <v>#REF!</v>
      </c>
      <c r="O25" s="114"/>
    </row>
    <row r="26" spans="1:24">
      <c r="A26" s="108" t="s">
        <v>29</v>
      </c>
      <c r="B26" s="115" t="e">
        <f t="shared" ref="B26:G26" si="1">B24/B25</f>
        <v>#REF!</v>
      </c>
      <c r="C26" s="115" t="e">
        <f t="shared" si="1"/>
        <v>#REF!</v>
      </c>
      <c r="D26" s="115" t="e">
        <f t="shared" si="1"/>
        <v>#REF!</v>
      </c>
      <c r="E26" s="115" t="e">
        <f t="shared" si="1"/>
        <v>#REF!</v>
      </c>
      <c r="F26" s="115" t="e">
        <f t="shared" si="1"/>
        <v>#REF!</v>
      </c>
      <c r="G26" s="115" t="e">
        <f t="shared" si="1"/>
        <v>#REF!</v>
      </c>
      <c r="H26" s="115" t="e">
        <f>H24/H25</f>
        <v>#REF!</v>
      </c>
      <c r="I26" s="115" t="e">
        <f t="shared" ref="I26:N26" si="2">I24/I25</f>
        <v>#REF!</v>
      </c>
      <c r="J26" s="115" t="e">
        <f t="shared" si="2"/>
        <v>#REF!</v>
      </c>
      <c r="K26" s="115" t="e">
        <f t="shared" si="2"/>
        <v>#REF!</v>
      </c>
      <c r="L26" s="115" t="e">
        <f t="shared" si="2"/>
        <v>#REF!</v>
      </c>
      <c r="M26" s="115" t="e">
        <f>M24/M25</f>
        <v>#REF!</v>
      </c>
      <c r="N26" s="115" t="e">
        <f t="shared" si="2"/>
        <v>#REF!</v>
      </c>
      <c r="O26" s="115"/>
    </row>
    <row r="27" spans="1:24">
      <c r="A27" s="11" t="s">
        <v>233</v>
      </c>
      <c r="B27" s="11"/>
      <c r="C27" s="13" t="e">
        <f>+C23/C25</f>
        <v>#REF!</v>
      </c>
      <c r="D27" s="13" t="e">
        <f t="shared" ref="D27:N27" si="3">+D23/D25</f>
        <v>#REF!</v>
      </c>
      <c r="E27" s="13" t="e">
        <f t="shared" si="3"/>
        <v>#REF!</v>
      </c>
      <c r="F27" s="13" t="e">
        <f t="shared" si="3"/>
        <v>#REF!</v>
      </c>
      <c r="G27" s="13" t="e">
        <f t="shared" si="3"/>
        <v>#REF!</v>
      </c>
      <c r="H27" s="13" t="e">
        <f t="shared" si="3"/>
        <v>#REF!</v>
      </c>
      <c r="I27" s="13" t="e">
        <f t="shared" si="3"/>
        <v>#REF!</v>
      </c>
      <c r="J27" s="13" t="e">
        <f t="shared" si="3"/>
        <v>#REF!</v>
      </c>
      <c r="K27" s="13" t="e">
        <f t="shared" si="3"/>
        <v>#REF!</v>
      </c>
      <c r="L27" s="13" t="e">
        <f t="shared" si="3"/>
        <v>#REF!</v>
      </c>
      <c r="M27" s="13" t="e">
        <f>+M23/M25</f>
        <v>#REF!</v>
      </c>
      <c r="N27" s="13" t="e">
        <f t="shared" si="3"/>
        <v>#REF!</v>
      </c>
      <c r="O27" s="13"/>
      <c r="X27" s="46"/>
    </row>
    <row r="28" spans="1:24">
      <c r="A28" s="92" t="s">
        <v>149</v>
      </c>
      <c r="F28" s="43"/>
      <c r="G28" s="44"/>
      <c r="H28" s="44"/>
      <c r="X28" s="46"/>
    </row>
    <row r="29" spans="1:24">
      <c r="A29" s="43" t="s">
        <v>147</v>
      </c>
      <c r="B29" s="114"/>
      <c r="C29" s="114">
        <v>241929</v>
      </c>
      <c r="D29" s="114"/>
      <c r="E29" s="114"/>
      <c r="F29" s="114"/>
      <c r="G29" s="114">
        <v>110758</v>
      </c>
      <c r="H29" s="114">
        <v>117875</v>
      </c>
      <c r="I29" s="114">
        <v>120668</v>
      </c>
      <c r="J29" s="114">
        <v>122011</v>
      </c>
      <c r="X29" s="46"/>
    </row>
    <row r="30" spans="1:24">
      <c r="A30" s="108" t="s">
        <v>148</v>
      </c>
      <c r="B30" s="114">
        <f>'LB_Q old'!I4+'LB_Q old'!I8+'LB_Q old'!I9</f>
        <v>474952</v>
      </c>
      <c r="C30" s="114">
        <f>'LB_Q old'!J4+'LB_Q old'!J8+'LB_Q old'!J9</f>
        <v>493062</v>
      </c>
      <c r="D30" s="114">
        <f>'LB_Q old'!K4+'LB_Q old'!K8+'LB_Q old'!K9</f>
        <v>469907</v>
      </c>
      <c r="E30" s="114">
        <f>'LB_Q old'!L4+'LB_Q old'!L8+'LB_Q old'!L9</f>
        <v>488406</v>
      </c>
      <c r="F30" s="114">
        <f>'LB_Q old'!M4+'LB_Q old'!M8+'LB_Q old'!M9</f>
        <v>487316</v>
      </c>
      <c r="G30" s="114">
        <f>'LB_Q old'!N4+'LB_Q old'!N8+'LB_Q old'!N9</f>
        <v>617839</v>
      </c>
      <c r="H30" s="114">
        <f>'LB_Q old'!O4+'LB_Q old'!O8+'LB_Q old'!O9</f>
        <v>636890</v>
      </c>
      <c r="I30" s="114">
        <f>'LB_Q old'!P4+'LB_Q old'!P8+'LB_Q old'!P9</f>
        <v>636038</v>
      </c>
      <c r="J30" s="114">
        <f>'LB_Q old'!R4+'LB_Q old'!R8+'LB_Q old'!R9</f>
        <v>626391</v>
      </c>
    </row>
    <row r="31" spans="1:24">
      <c r="A31" s="108" t="s">
        <v>29</v>
      </c>
      <c r="B31" s="115">
        <f t="shared" ref="B31:J31" si="4">B29/B30</f>
        <v>0</v>
      </c>
      <c r="C31" s="115">
        <f t="shared" si="4"/>
        <v>0.4906664881901262</v>
      </c>
      <c r="D31" s="115">
        <f t="shared" si="4"/>
        <v>0</v>
      </c>
      <c r="E31" s="115">
        <f t="shared" si="4"/>
        <v>0</v>
      </c>
      <c r="F31" s="115">
        <f t="shared" si="4"/>
        <v>0</v>
      </c>
      <c r="G31" s="115">
        <f t="shared" si="4"/>
        <v>0.17926676690853119</v>
      </c>
      <c r="H31" s="115">
        <f t="shared" si="4"/>
        <v>0.18507905603793434</v>
      </c>
      <c r="I31" s="115">
        <f t="shared" si="4"/>
        <v>0.18971822438281991</v>
      </c>
      <c r="J31" s="115">
        <f t="shared" si="4"/>
        <v>0.19478408853256193</v>
      </c>
    </row>
    <row r="32" spans="1:24">
      <c r="F32" s="45"/>
      <c r="G32" s="44"/>
      <c r="H32" s="44"/>
    </row>
    <row r="33" spans="1:24">
      <c r="A33" s="43"/>
      <c r="F33" s="45"/>
      <c r="G33" s="44"/>
      <c r="H33" s="44"/>
    </row>
    <row r="34" spans="1:24">
      <c r="A34" s="43"/>
      <c r="F34" s="45"/>
      <c r="G34" s="44"/>
      <c r="H34" s="44"/>
    </row>
    <row r="35" spans="1:24">
      <c r="A35" s="43"/>
      <c r="F35" s="45"/>
      <c r="G35" s="44"/>
      <c r="H35" s="44"/>
      <c r="I35" s="13"/>
    </row>
    <row r="36" spans="1:24">
      <c r="A36" s="43"/>
      <c r="F36" s="45"/>
      <c r="G36" s="44"/>
      <c r="H36" s="44"/>
    </row>
    <row r="37" spans="1:24">
      <c r="A37" s="43"/>
      <c r="B37" s="61" t="str">
        <f t="shared" ref="B37:O37" si="5">+B4</f>
        <v>Q3 10</v>
      </c>
      <c r="C37" s="61" t="str">
        <f t="shared" si="5"/>
        <v>Q4 10</v>
      </c>
      <c r="D37" s="61" t="str">
        <f t="shared" si="5"/>
        <v>Q1 11</v>
      </c>
      <c r="E37" s="61" t="str">
        <f t="shared" si="5"/>
        <v>Q2 11</v>
      </c>
      <c r="F37" s="61" t="str">
        <f t="shared" si="5"/>
        <v>Q3 11</v>
      </c>
      <c r="G37" s="61" t="str">
        <f t="shared" si="5"/>
        <v>Q4 11</v>
      </c>
      <c r="H37" s="61" t="str">
        <f t="shared" si="5"/>
        <v>Q1 12</v>
      </c>
      <c r="I37" s="61" t="str">
        <f t="shared" si="5"/>
        <v>Q2 12</v>
      </c>
      <c r="J37" s="61" t="str">
        <f t="shared" si="5"/>
        <v>Q3 12</v>
      </c>
      <c r="K37" s="61" t="str">
        <f t="shared" si="5"/>
        <v>Q4 12</v>
      </c>
      <c r="L37" s="61" t="str">
        <f t="shared" si="5"/>
        <v>Q1 13</v>
      </c>
      <c r="M37" s="61" t="str">
        <f>+M4</f>
        <v>Q2 13</v>
      </c>
      <c r="N37" s="61" t="str">
        <f t="shared" si="5"/>
        <v>Q3 13</v>
      </c>
      <c r="O37" s="61" t="str">
        <f t="shared" si="5"/>
        <v>Q1 14</v>
      </c>
      <c r="S37" s="92">
        <v>2010</v>
      </c>
      <c r="T37" s="92">
        <v>2011</v>
      </c>
      <c r="U37" s="92">
        <v>2012</v>
      </c>
      <c r="V37" s="61" t="s">
        <v>238</v>
      </c>
      <c r="W37" s="61" t="s">
        <v>237</v>
      </c>
    </row>
    <row r="38" spans="1:24">
      <c r="A38" s="61" t="s">
        <v>79</v>
      </c>
      <c r="B38" s="58" t="e">
        <f t="shared" ref="B38:N38" si="6">B5*100</f>
        <v>#REF!</v>
      </c>
      <c r="C38" s="58" t="e">
        <f t="shared" si="6"/>
        <v>#REF!</v>
      </c>
      <c r="D38" s="58" t="e">
        <f t="shared" si="6"/>
        <v>#REF!</v>
      </c>
      <c r="E38" s="58" t="e">
        <f t="shared" si="6"/>
        <v>#REF!</v>
      </c>
      <c r="F38" s="58" t="e">
        <f t="shared" si="6"/>
        <v>#REF!</v>
      </c>
      <c r="G38" s="58" t="e">
        <f t="shared" si="6"/>
        <v>#REF!</v>
      </c>
      <c r="H38" s="58" t="e">
        <f t="shared" si="6"/>
        <v>#REF!</v>
      </c>
      <c r="I38" s="58" t="e">
        <f t="shared" si="6"/>
        <v>#REF!</v>
      </c>
      <c r="J38" s="58" t="e">
        <f t="shared" si="6"/>
        <v>#REF!</v>
      </c>
      <c r="K38" s="58" t="e">
        <f t="shared" si="6"/>
        <v>#REF!</v>
      </c>
      <c r="L38" s="58" t="e">
        <f t="shared" si="6"/>
        <v>#REF!</v>
      </c>
      <c r="M38" s="58" t="e">
        <f>M5*100</f>
        <v>#REF!</v>
      </c>
      <c r="N38" s="58" t="e">
        <f t="shared" si="6"/>
        <v>#REF!</v>
      </c>
      <c r="O38" s="58"/>
      <c r="S38" s="11">
        <v>13.4</v>
      </c>
      <c r="T38" s="11">
        <v>10.5</v>
      </c>
      <c r="U38" s="11">
        <v>13.8</v>
      </c>
      <c r="V38" s="11">
        <v>18.8</v>
      </c>
      <c r="W38" s="58" t="e">
        <f>#REF!*100</f>
        <v>#REF!</v>
      </c>
    </row>
    <row r="39" spans="1:24">
      <c r="A39" s="61" t="s">
        <v>255</v>
      </c>
      <c r="B39" s="49"/>
      <c r="E39" s="58">
        <v>10.5</v>
      </c>
      <c r="F39" s="58">
        <v>10.5</v>
      </c>
      <c r="G39" s="58">
        <v>10.5</v>
      </c>
      <c r="H39" s="58">
        <v>10.5</v>
      </c>
      <c r="I39" s="58">
        <v>10.5</v>
      </c>
      <c r="J39" s="58">
        <v>10.5</v>
      </c>
      <c r="K39" s="58">
        <v>10.5</v>
      </c>
      <c r="L39" s="58">
        <v>10.5</v>
      </c>
      <c r="M39" s="58">
        <v>10.5</v>
      </c>
      <c r="N39" s="58">
        <v>10.5</v>
      </c>
    </row>
    <row r="40" spans="1:24">
      <c r="A40" s="43"/>
      <c r="B40" s="49"/>
      <c r="F40" s="43"/>
      <c r="G40" s="44"/>
      <c r="H40" s="44"/>
    </row>
    <row r="41" spans="1:24">
      <c r="A41" s="43"/>
      <c r="B41" s="49"/>
      <c r="F41" s="43"/>
      <c r="G41" s="44"/>
      <c r="H41" s="44"/>
    </row>
    <row r="42" spans="1:24">
      <c r="A42" s="43"/>
      <c r="F42" s="43"/>
      <c r="G42" s="44"/>
      <c r="H42" s="44"/>
      <c r="X42" s="46"/>
    </row>
    <row r="43" spans="1:24">
      <c r="A43" s="43"/>
      <c r="F43" s="43"/>
      <c r="G43" s="44"/>
      <c r="H43" s="44"/>
      <c r="X43" s="46"/>
    </row>
    <row r="44" spans="1:24">
      <c r="A44" s="43"/>
      <c r="F44" s="43"/>
      <c r="G44" s="44"/>
      <c r="H44" s="44"/>
    </row>
    <row r="45" spans="1:24">
      <c r="A45" s="43"/>
      <c r="F45" s="45"/>
      <c r="G45" s="44"/>
      <c r="H45" s="44"/>
    </row>
    <row r="46" spans="1:24">
      <c r="F46" s="45"/>
    </row>
    <row r="47" spans="1:24">
      <c r="F47" s="45"/>
    </row>
    <row r="48" spans="1:24">
      <c r="F48" s="45"/>
    </row>
    <row r="49" spans="1:21">
      <c r="F49" s="45"/>
    </row>
    <row r="50" spans="1:21">
      <c r="F50" s="45"/>
    </row>
    <row r="51" spans="1:21">
      <c r="B51" s="61" t="str">
        <f>B37</f>
        <v>Q3 10</v>
      </c>
      <c r="C51" s="61" t="str">
        <f t="shared" ref="C51:N51" si="7">C37</f>
        <v>Q4 10</v>
      </c>
      <c r="D51" s="61" t="str">
        <f t="shared" si="7"/>
        <v>Q1 11</v>
      </c>
      <c r="E51" s="61" t="str">
        <f t="shared" si="7"/>
        <v>Q2 11</v>
      </c>
      <c r="F51" s="61" t="str">
        <f t="shared" si="7"/>
        <v>Q3 11</v>
      </c>
      <c r="G51" s="61" t="str">
        <f t="shared" si="7"/>
        <v>Q4 11</v>
      </c>
      <c r="H51" s="61" t="str">
        <f t="shared" si="7"/>
        <v>Q1 12</v>
      </c>
      <c r="I51" s="61" t="str">
        <f t="shared" si="7"/>
        <v>Q2 12</v>
      </c>
      <c r="J51" s="61" t="str">
        <f t="shared" si="7"/>
        <v>Q3 12</v>
      </c>
      <c r="K51" s="61" t="str">
        <f t="shared" si="7"/>
        <v>Q4 12</v>
      </c>
      <c r="L51" s="61" t="str">
        <f t="shared" si="7"/>
        <v>Q1 13</v>
      </c>
      <c r="M51" s="61" t="str">
        <f t="shared" si="7"/>
        <v>Q2 13</v>
      </c>
      <c r="N51" s="61" t="str">
        <f t="shared" si="7"/>
        <v>Q3 13</v>
      </c>
      <c r="O51" s="61"/>
      <c r="Q51" s="92">
        <v>2010</v>
      </c>
      <c r="R51" s="92">
        <v>2011</v>
      </c>
      <c r="S51" s="92">
        <v>2012</v>
      </c>
      <c r="T51" s="61" t="s">
        <v>238</v>
      </c>
      <c r="U51" s="61" t="s">
        <v>237</v>
      </c>
    </row>
    <row r="52" spans="1:21">
      <c r="A52" s="61" t="s">
        <v>9</v>
      </c>
      <c r="B52" s="116" t="e">
        <f t="shared" ref="B52:N52" si="8">B7*100</f>
        <v>#REF!</v>
      </c>
      <c r="C52" s="116" t="e">
        <f t="shared" si="8"/>
        <v>#REF!</v>
      </c>
      <c r="D52" s="116" t="e">
        <f t="shared" si="8"/>
        <v>#REF!</v>
      </c>
      <c r="E52" s="116" t="e">
        <f t="shared" si="8"/>
        <v>#REF!</v>
      </c>
      <c r="F52" s="116" t="e">
        <f t="shared" si="8"/>
        <v>#REF!</v>
      </c>
      <c r="G52" s="116" t="e">
        <f t="shared" si="8"/>
        <v>#REF!</v>
      </c>
      <c r="H52" s="116" t="e">
        <f t="shared" si="8"/>
        <v>#REF!</v>
      </c>
      <c r="I52" s="116" t="e">
        <f t="shared" si="8"/>
        <v>#REF!</v>
      </c>
      <c r="J52" s="116" t="e">
        <f t="shared" si="8"/>
        <v>#REF!</v>
      </c>
      <c r="K52" s="116" t="e">
        <f t="shared" si="8"/>
        <v>#REF!</v>
      </c>
      <c r="L52" s="116" t="e">
        <f t="shared" si="8"/>
        <v>#REF!</v>
      </c>
      <c r="M52" s="116" t="e">
        <f t="shared" si="8"/>
        <v>#REF!</v>
      </c>
      <c r="N52" s="116" t="e">
        <f t="shared" si="8"/>
        <v>#REF!</v>
      </c>
      <c r="O52" s="116"/>
      <c r="Q52" s="11">
        <v>2.7</v>
      </c>
      <c r="R52" s="11">
        <v>3.4</v>
      </c>
      <c r="S52" s="11">
        <v>3.4</v>
      </c>
      <c r="T52" s="11">
        <v>3.4</v>
      </c>
      <c r="U52" s="58" t="e">
        <f>#REF!*100</f>
        <v>#REF!</v>
      </c>
    </row>
    <row r="53" spans="1:21">
      <c r="E53" s="116">
        <v>2.7</v>
      </c>
      <c r="F53" s="116">
        <v>2.7</v>
      </c>
      <c r="G53" s="116">
        <v>2.7</v>
      </c>
      <c r="H53" s="116">
        <v>2.7</v>
      </c>
      <c r="I53" s="116">
        <v>2.7</v>
      </c>
      <c r="J53" s="116">
        <v>2.7</v>
      </c>
      <c r="K53" s="116">
        <v>2.7</v>
      </c>
      <c r="L53" s="116">
        <v>2.7</v>
      </c>
      <c r="M53" s="116">
        <v>2.7</v>
      </c>
      <c r="N53" s="116">
        <v>2.7</v>
      </c>
      <c r="O53" s="116"/>
    </row>
    <row r="66" spans="1:19">
      <c r="B66" s="61" t="str">
        <f>B51</f>
        <v>Q3 10</v>
      </c>
      <c r="C66" s="61" t="str">
        <f t="shared" ref="C66:N66" si="9">C51</f>
        <v>Q4 10</v>
      </c>
      <c r="D66" s="61" t="str">
        <f t="shared" si="9"/>
        <v>Q1 11</v>
      </c>
      <c r="E66" s="61" t="str">
        <f t="shared" si="9"/>
        <v>Q2 11</v>
      </c>
      <c r="F66" s="61" t="str">
        <f t="shared" si="9"/>
        <v>Q3 11</v>
      </c>
      <c r="G66" s="61" t="str">
        <f t="shared" si="9"/>
        <v>Q4 11</v>
      </c>
      <c r="H66" s="61" t="str">
        <f t="shared" si="9"/>
        <v>Q1 12</v>
      </c>
      <c r="I66" s="61" t="str">
        <f t="shared" si="9"/>
        <v>Q2 12</v>
      </c>
      <c r="J66" s="61" t="str">
        <f t="shared" si="9"/>
        <v>Q3 12</v>
      </c>
      <c r="K66" s="61" t="str">
        <f t="shared" si="9"/>
        <v>Q4 12</v>
      </c>
      <c r="L66" s="61" t="str">
        <f t="shared" si="9"/>
        <v>Q1 13</v>
      </c>
      <c r="M66" s="61" t="str">
        <f t="shared" si="9"/>
        <v>Q2 13</v>
      </c>
      <c r="N66" s="61" t="str">
        <f t="shared" si="9"/>
        <v>Q3 13</v>
      </c>
      <c r="O66" s="61"/>
      <c r="Q66" s="92">
        <v>2010</v>
      </c>
      <c r="R66" s="92">
        <v>2011</v>
      </c>
      <c r="S66" s="92">
        <v>2012</v>
      </c>
    </row>
    <row r="67" spans="1:19">
      <c r="A67" s="61" t="s">
        <v>77</v>
      </c>
      <c r="B67" s="116" t="e">
        <f t="shared" ref="B67:M67" si="10">B14*100</f>
        <v>#REF!</v>
      </c>
      <c r="C67" s="116" t="e">
        <f t="shared" si="10"/>
        <v>#REF!</v>
      </c>
      <c r="D67" s="116" t="e">
        <f t="shared" si="10"/>
        <v>#REF!</v>
      </c>
      <c r="E67" s="116" t="e">
        <f t="shared" si="10"/>
        <v>#REF!</v>
      </c>
      <c r="F67" s="116" t="e">
        <f t="shared" si="10"/>
        <v>#REF!</v>
      </c>
      <c r="G67" s="116" t="e">
        <f t="shared" si="10"/>
        <v>#REF!</v>
      </c>
      <c r="H67" s="116" t="e">
        <f t="shared" si="10"/>
        <v>#REF!</v>
      </c>
      <c r="I67" s="116" t="e">
        <f t="shared" si="10"/>
        <v>#REF!</v>
      </c>
      <c r="J67" s="116" t="e">
        <f t="shared" si="10"/>
        <v>#REF!</v>
      </c>
      <c r="K67" s="116" t="e">
        <f t="shared" si="10"/>
        <v>#REF!</v>
      </c>
      <c r="L67" s="116" t="e">
        <f t="shared" si="10"/>
        <v>#REF!</v>
      </c>
      <c r="M67" s="116" t="e">
        <f t="shared" si="10"/>
        <v>#REF!</v>
      </c>
      <c r="N67" s="116" t="e">
        <f>N14*100</f>
        <v>#REF!</v>
      </c>
      <c r="O67" s="116"/>
    </row>
    <row r="68" spans="1:19">
      <c r="A68" s="61" t="s">
        <v>256</v>
      </c>
      <c r="E68" s="116">
        <v>13</v>
      </c>
      <c r="F68" s="116">
        <v>13</v>
      </c>
      <c r="G68" s="116">
        <v>13</v>
      </c>
      <c r="H68" s="116">
        <v>13</v>
      </c>
      <c r="I68" s="116">
        <v>13</v>
      </c>
      <c r="J68" s="116">
        <v>13</v>
      </c>
      <c r="K68" s="116">
        <v>13</v>
      </c>
      <c r="L68" s="116">
        <v>13</v>
      </c>
      <c r="M68" s="116">
        <v>13</v>
      </c>
      <c r="N68" s="116">
        <v>13</v>
      </c>
    </row>
    <row r="81" spans="1:21">
      <c r="B81" s="61" t="str">
        <f>B66</f>
        <v>Q3 10</v>
      </c>
      <c r="C81" s="61" t="str">
        <f t="shared" ref="C81:N81" si="11">C66</f>
        <v>Q4 10</v>
      </c>
      <c r="D81" s="61" t="str">
        <f t="shared" si="11"/>
        <v>Q1 11</v>
      </c>
      <c r="E81" s="61" t="str">
        <f t="shared" si="11"/>
        <v>Q2 11</v>
      </c>
      <c r="F81" s="61" t="str">
        <f t="shared" si="11"/>
        <v>Q3 11</v>
      </c>
      <c r="G81" s="61" t="str">
        <f t="shared" si="11"/>
        <v>Q4 11</v>
      </c>
      <c r="H81" s="61" t="str">
        <f t="shared" si="11"/>
        <v>Q1 12</v>
      </c>
      <c r="I81" s="61" t="str">
        <f t="shared" si="11"/>
        <v>Q2 12</v>
      </c>
      <c r="J81" s="61" t="str">
        <f t="shared" si="11"/>
        <v>Q3 12</v>
      </c>
      <c r="K81" s="61" t="str">
        <f t="shared" si="11"/>
        <v>Q4 12</v>
      </c>
      <c r="L81" s="61" t="str">
        <f t="shared" si="11"/>
        <v>Q1 13</v>
      </c>
      <c r="M81" s="61" t="str">
        <f t="shared" si="11"/>
        <v>Q2 13</v>
      </c>
      <c r="N81" s="61" t="str">
        <f t="shared" si="11"/>
        <v>Q3 13</v>
      </c>
      <c r="O81" s="61"/>
      <c r="Q81" s="92">
        <v>2010</v>
      </c>
      <c r="R81" s="92">
        <v>2011</v>
      </c>
      <c r="S81" s="92">
        <v>2012</v>
      </c>
      <c r="T81" s="61" t="s">
        <v>238</v>
      </c>
      <c r="U81" s="61" t="s">
        <v>237</v>
      </c>
    </row>
    <row r="82" spans="1:21">
      <c r="A82" s="61" t="s">
        <v>128</v>
      </c>
      <c r="B82" s="116" t="e">
        <f t="shared" ref="B82:N82" si="12">B9*100</f>
        <v>#REF!</v>
      </c>
      <c r="C82" s="116" t="e">
        <f t="shared" si="12"/>
        <v>#REF!</v>
      </c>
      <c r="D82" s="116" t="e">
        <f t="shared" si="12"/>
        <v>#REF!</v>
      </c>
      <c r="E82" s="116" t="e">
        <f t="shared" si="12"/>
        <v>#REF!</v>
      </c>
      <c r="F82" s="116" t="e">
        <f t="shared" si="12"/>
        <v>#REF!</v>
      </c>
      <c r="G82" s="116" t="e">
        <f t="shared" si="12"/>
        <v>#REF!</v>
      </c>
      <c r="H82" s="116" t="e">
        <f t="shared" si="12"/>
        <v>#REF!</v>
      </c>
      <c r="I82" s="116" t="e">
        <f t="shared" si="12"/>
        <v>#REF!</v>
      </c>
      <c r="J82" s="116" t="e">
        <f t="shared" si="12"/>
        <v>#REF!</v>
      </c>
      <c r="K82" s="116" t="e">
        <f t="shared" si="12"/>
        <v>#REF!</v>
      </c>
      <c r="L82" s="116" t="e">
        <f t="shared" si="12"/>
        <v>#REF!</v>
      </c>
      <c r="M82" s="116" t="e">
        <f t="shared" si="12"/>
        <v>#REF!</v>
      </c>
      <c r="N82" s="116" t="e">
        <f t="shared" si="12"/>
        <v>#REF!</v>
      </c>
      <c r="O82" s="116"/>
      <c r="Q82" s="11">
        <v>54.2</v>
      </c>
      <c r="R82" s="11">
        <v>52.5</v>
      </c>
      <c r="S82" s="11">
        <v>49.8</v>
      </c>
      <c r="T82" s="58">
        <v>52</v>
      </c>
      <c r="U82" s="58" t="e">
        <f>#REF!*100</f>
        <v>#REF!</v>
      </c>
    </row>
    <row r="83" spans="1:21">
      <c r="E83" s="116">
        <v>50</v>
      </c>
      <c r="F83" s="116">
        <v>50</v>
      </c>
      <c r="G83" s="116">
        <v>50</v>
      </c>
      <c r="H83" s="116">
        <v>50</v>
      </c>
      <c r="I83" s="116">
        <v>50</v>
      </c>
      <c r="J83" s="116">
        <v>50</v>
      </c>
      <c r="K83" s="116">
        <v>50</v>
      </c>
      <c r="L83" s="116">
        <v>50</v>
      </c>
      <c r="M83" s="116">
        <v>50</v>
      </c>
      <c r="N83" s="116">
        <v>50</v>
      </c>
    </row>
    <row r="84" spans="1:21">
      <c r="E84" s="116">
        <v>60</v>
      </c>
      <c r="F84" s="116">
        <v>60</v>
      </c>
      <c r="G84" s="116">
        <v>60</v>
      </c>
      <c r="H84" s="116">
        <v>60</v>
      </c>
      <c r="I84" s="116">
        <v>60</v>
      </c>
      <c r="J84" s="116">
        <v>60</v>
      </c>
      <c r="K84" s="116">
        <v>60</v>
      </c>
      <c r="L84" s="116">
        <v>60</v>
      </c>
      <c r="M84" s="116">
        <v>60</v>
      </c>
      <c r="N84" s="116">
        <v>60</v>
      </c>
    </row>
    <row r="95" spans="1:21">
      <c r="B95" s="61" t="str">
        <f>B81</f>
        <v>Q3 10</v>
      </c>
      <c r="C95" s="61" t="str">
        <f t="shared" ref="C95:K95" si="13">C81</f>
        <v>Q4 10</v>
      </c>
      <c r="D95" s="61" t="str">
        <f t="shared" si="13"/>
        <v>Q1 11</v>
      </c>
      <c r="E95" s="61" t="str">
        <f t="shared" si="13"/>
        <v>Q2 11</v>
      </c>
      <c r="F95" s="61" t="str">
        <f t="shared" si="13"/>
        <v>Q3 11</v>
      </c>
      <c r="G95" s="61" t="str">
        <f t="shared" si="13"/>
        <v>Q4 11</v>
      </c>
      <c r="H95" s="61" t="str">
        <f t="shared" si="13"/>
        <v>Q1 12</v>
      </c>
      <c r="I95" s="61" t="str">
        <f t="shared" si="13"/>
        <v>Q2 12</v>
      </c>
      <c r="J95" s="61" t="str">
        <f t="shared" si="13"/>
        <v>Q3 12</v>
      </c>
      <c r="K95" s="61" t="str">
        <f t="shared" si="13"/>
        <v>Q4 12</v>
      </c>
      <c r="L95" s="61" t="str">
        <f>L81</f>
        <v>Q1 13</v>
      </c>
      <c r="M95" s="61" t="str">
        <f>M81</f>
        <v>Q2 13</v>
      </c>
      <c r="N95" s="61" t="str">
        <f>N81</f>
        <v>Q3 13</v>
      </c>
      <c r="O95" s="61"/>
      <c r="Q95" s="92">
        <v>2010</v>
      </c>
      <c r="R95" s="92">
        <v>2011</v>
      </c>
      <c r="S95" s="92">
        <v>2012</v>
      </c>
      <c r="T95" s="61" t="s">
        <v>238</v>
      </c>
      <c r="U95" s="61" t="s">
        <v>237</v>
      </c>
    </row>
    <row r="96" spans="1:21">
      <c r="A96" s="61" t="s">
        <v>129</v>
      </c>
      <c r="B96" s="116" t="e">
        <f t="shared" ref="B96:N96" si="14">B10*100</f>
        <v>#REF!</v>
      </c>
      <c r="C96" s="116" t="e">
        <f t="shared" si="14"/>
        <v>#REF!</v>
      </c>
      <c r="D96" s="116" t="e">
        <f t="shared" si="14"/>
        <v>#REF!</v>
      </c>
      <c r="E96" s="116" t="e">
        <f t="shared" si="14"/>
        <v>#REF!</v>
      </c>
      <c r="F96" s="116" t="e">
        <f t="shared" si="14"/>
        <v>#REF!</v>
      </c>
      <c r="G96" s="116" t="e">
        <f t="shared" si="14"/>
        <v>#REF!</v>
      </c>
      <c r="H96" s="116" t="e">
        <f t="shared" si="14"/>
        <v>#REF!</v>
      </c>
      <c r="I96" s="116" t="e">
        <f t="shared" si="14"/>
        <v>#REF!</v>
      </c>
      <c r="J96" s="116" t="e">
        <f t="shared" si="14"/>
        <v>#REF!</v>
      </c>
      <c r="K96" s="116" t="e">
        <f t="shared" si="14"/>
        <v>#REF!</v>
      </c>
      <c r="L96" s="116" t="e">
        <f t="shared" si="14"/>
        <v>#REF!</v>
      </c>
      <c r="M96" s="116" t="e">
        <f>M10*100</f>
        <v>#REF!</v>
      </c>
      <c r="N96" s="116" t="e">
        <f t="shared" si="14"/>
        <v>#REF!</v>
      </c>
      <c r="O96" s="116"/>
      <c r="P96" s="11" t="s">
        <v>100</v>
      </c>
      <c r="Q96" s="58" t="e">
        <f>#REF!*100</f>
        <v>#REF!</v>
      </c>
      <c r="R96" s="58" t="e">
        <f>#REF!*100</f>
        <v>#REF!</v>
      </c>
      <c r="S96" s="58" t="e">
        <f>#REF!*100</f>
        <v>#REF!</v>
      </c>
      <c r="T96" s="58" t="e">
        <f>#REF!*100</f>
        <v>#REF!</v>
      </c>
      <c r="U96" s="58" t="e">
        <f>#REF!*100</f>
        <v>#REF!</v>
      </c>
    </row>
    <row r="97" spans="1:21">
      <c r="P97" s="11" t="s">
        <v>109</v>
      </c>
      <c r="Q97" s="58" t="e">
        <f>#REF!*100</f>
        <v>#REF!</v>
      </c>
      <c r="R97" s="58" t="e">
        <f>#REF!*100</f>
        <v>#REF!</v>
      </c>
      <c r="S97" s="58" t="e">
        <f>#REF!*100</f>
        <v>#REF!</v>
      </c>
      <c r="T97" s="58" t="e">
        <f>#REF!*100</f>
        <v>#REF!</v>
      </c>
      <c r="U97" s="58" t="e">
        <f>#REF!*100</f>
        <v>#REF!</v>
      </c>
    </row>
    <row r="98" spans="1:21">
      <c r="P98" s="92" t="s">
        <v>26</v>
      </c>
      <c r="Q98" s="156" t="e">
        <f>SUM(Q96:Q97)</f>
        <v>#REF!</v>
      </c>
      <c r="R98" s="156" t="e">
        <f>SUM(R96:R97)</f>
        <v>#REF!</v>
      </c>
      <c r="S98" s="156" t="e">
        <f>SUM(S96:S97)</f>
        <v>#REF!</v>
      </c>
      <c r="T98" s="156" t="e">
        <f>SUM(T96:T97)</f>
        <v>#REF!</v>
      </c>
      <c r="U98" s="156" t="e">
        <f>SUM(U96:U97)</f>
        <v>#REF!</v>
      </c>
    </row>
    <row r="109" spans="1:21">
      <c r="B109" s="61" t="str">
        <f>B95</f>
        <v>Q3 10</v>
      </c>
      <c r="C109" s="61" t="str">
        <f t="shared" ref="C109:K109" si="15">C95</f>
        <v>Q4 10</v>
      </c>
      <c r="D109" s="61" t="str">
        <f t="shared" si="15"/>
        <v>Q1 11</v>
      </c>
      <c r="E109" s="61" t="str">
        <f t="shared" si="15"/>
        <v>Q2 11</v>
      </c>
      <c r="F109" s="61" t="str">
        <f t="shared" si="15"/>
        <v>Q3 11</v>
      </c>
      <c r="G109" s="61" t="str">
        <f t="shared" si="15"/>
        <v>Q4 11</v>
      </c>
      <c r="H109" s="61" t="str">
        <f t="shared" si="15"/>
        <v>Q1 12</v>
      </c>
      <c r="I109" s="61" t="str">
        <f t="shared" si="15"/>
        <v>Q2 12</v>
      </c>
      <c r="J109" s="61" t="str">
        <f t="shared" si="15"/>
        <v>Q3 12</v>
      </c>
      <c r="K109" s="61" t="str">
        <f t="shared" si="15"/>
        <v>Q4 12</v>
      </c>
      <c r="L109" s="61" t="str">
        <f>L95</f>
        <v>Q1 13</v>
      </c>
      <c r="M109" s="61" t="str">
        <f>M95</f>
        <v>Q2 13</v>
      </c>
      <c r="N109" s="61" t="str">
        <f>N95</f>
        <v>Q3 13</v>
      </c>
      <c r="O109" s="61"/>
      <c r="Q109" s="92">
        <v>2010</v>
      </c>
      <c r="R109" s="92">
        <v>2011</v>
      </c>
      <c r="S109" s="92">
        <v>2012</v>
      </c>
    </row>
    <row r="110" spans="1:21">
      <c r="A110" s="61" t="s">
        <v>143</v>
      </c>
      <c r="B110" s="116" t="e">
        <f t="shared" ref="B110:L110" si="16">B15*100</f>
        <v>#REF!</v>
      </c>
      <c r="C110" s="116" t="e">
        <f t="shared" si="16"/>
        <v>#REF!</v>
      </c>
      <c r="D110" s="116" t="e">
        <f t="shared" si="16"/>
        <v>#REF!</v>
      </c>
      <c r="E110" s="116" t="e">
        <f t="shared" si="16"/>
        <v>#REF!</v>
      </c>
      <c r="F110" s="116" t="e">
        <f t="shared" si="16"/>
        <v>#REF!</v>
      </c>
      <c r="G110" s="116" t="e">
        <f t="shared" si="16"/>
        <v>#REF!</v>
      </c>
      <c r="H110" s="116" t="e">
        <f t="shared" si="16"/>
        <v>#REF!</v>
      </c>
      <c r="I110" s="116" t="e">
        <f t="shared" si="16"/>
        <v>#REF!</v>
      </c>
      <c r="J110" s="116" t="e">
        <f t="shared" si="16"/>
        <v>#REF!</v>
      </c>
      <c r="K110" s="116" t="e">
        <f t="shared" si="16"/>
        <v>#REF!</v>
      </c>
      <c r="L110" s="116" t="e">
        <f t="shared" si="16"/>
        <v>#REF!</v>
      </c>
      <c r="M110" s="116" t="e">
        <f>M15*100</f>
        <v>#REF!</v>
      </c>
      <c r="N110" s="116" t="e">
        <f>N15*100</f>
        <v>#REF!</v>
      </c>
      <c r="O110" s="116"/>
      <c r="Q110" s="58" t="e">
        <f>C110</f>
        <v>#REF!</v>
      </c>
      <c r="R110" s="58" t="e">
        <f>G110</f>
        <v>#REF!</v>
      </c>
      <c r="S110" s="58" t="e">
        <f>K110</f>
        <v>#REF!</v>
      </c>
    </row>
    <row r="123" spans="1:19">
      <c r="B123" s="61" t="str">
        <f>B109</f>
        <v>Q3 10</v>
      </c>
      <c r="C123" s="61" t="str">
        <f t="shared" ref="C123:K123" si="17">C109</f>
        <v>Q4 10</v>
      </c>
      <c r="D123" s="61" t="str">
        <f t="shared" si="17"/>
        <v>Q1 11</v>
      </c>
      <c r="E123" s="61" t="str">
        <f t="shared" si="17"/>
        <v>Q2 11</v>
      </c>
      <c r="F123" s="61" t="str">
        <f t="shared" si="17"/>
        <v>Q3 11</v>
      </c>
      <c r="G123" s="61" t="str">
        <f t="shared" si="17"/>
        <v>Q4 11</v>
      </c>
      <c r="H123" s="61" t="str">
        <f t="shared" si="17"/>
        <v>Q1 12</v>
      </c>
      <c r="I123" s="61" t="str">
        <f t="shared" si="17"/>
        <v>Q2 12</v>
      </c>
      <c r="J123" s="61" t="str">
        <f t="shared" si="17"/>
        <v>Q3 12</v>
      </c>
      <c r="K123" s="61" t="str">
        <f t="shared" si="17"/>
        <v>Q4 12</v>
      </c>
      <c r="L123" s="61" t="str">
        <f>L109</f>
        <v>Q1 13</v>
      </c>
      <c r="M123" s="61" t="str">
        <f>M109</f>
        <v>Q2 13</v>
      </c>
      <c r="N123" s="61" t="str">
        <f>N109</f>
        <v>Q3 13</v>
      </c>
      <c r="O123" s="61"/>
      <c r="Q123" s="92">
        <v>2010</v>
      </c>
      <c r="R123" s="92">
        <v>2011</v>
      </c>
      <c r="S123" s="92">
        <v>2012</v>
      </c>
    </row>
    <row r="124" spans="1:19">
      <c r="A124" s="61" t="s">
        <v>127</v>
      </c>
      <c r="B124" s="116" t="e">
        <f t="shared" ref="B124:L124" si="18">B6*100</f>
        <v>#REF!</v>
      </c>
      <c r="C124" s="116" t="e">
        <f t="shared" si="18"/>
        <v>#REF!</v>
      </c>
      <c r="D124" s="116" t="e">
        <f t="shared" si="18"/>
        <v>#REF!</v>
      </c>
      <c r="E124" s="116" t="e">
        <f t="shared" si="18"/>
        <v>#REF!</v>
      </c>
      <c r="F124" s="116" t="e">
        <f t="shared" si="18"/>
        <v>#REF!</v>
      </c>
      <c r="G124" s="116" t="e">
        <f t="shared" si="18"/>
        <v>#REF!</v>
      </c>
      <c r="H124" s="116" t="e">
        <f t="shared" si="18"/>
        <v>#REF!</v>
      </c>
      <c r="I124" s="116" t="e">
        <f t="shared" si="18"/>
        <v>#REF!</v>
      </c>
      <c r="J124" s="116" t="e">
        <f t="shared" si="18"/>
        <v>#REF!</v>
      </c>
      <c r="K124" s="116" t="e">
        <f t="shared" si="18"/>
        <v>#REF!</v>
      </c>
      <c r="L124" s="116" t="e">
        <f t="shared" si="18"/>
        <v>#REF!</v>
      </c>
      <c r="M124" s="116" t="e">
        <f>M6*100</f>
        <v>#REF!</v>
      </c>
      <c r="N124" s="116" t="e">
        <f>N6*100</f>
        <v>#REF!</v>
      </c>
      <c r="O124" s="116"/>
    </row>
    <row r="137" spans="1:21">
      <c r="B137" s="61" t="str">
        <f>B123</f>
        <v>Q3 10</v>
      </c>
      <c r="C137" s="61" t="str">
        <f t="shared" ref="C137:K137" si="19">C123</f>
        <v>Q4 10</v>
      </c>
      <c r="D137" s="61" t="str">
        <f t="shared" si="19"/>
        <v>Q1 11</v>
      </c>
      <c r="E137" s="61" t="str">
        <f t="shared" si="19"/>
        <v>Q2 11</v>
      </c>
      <c r="F137" s="61" t="str">
        <f t="shared" si="19"/>
        <v>Q3 11</v>
      </c>
      <c r="G137" s="61" t="str">
        <f t="shared" si="19"/>
        <v>Q4 11</v>
      </c>
      <c r="H137" s="61" t="str">
        <f t="shared" si="19"/>
        <v>Q1 12</v>
      </c>
      <c r="I137" s="61" t="str">
        <f t="shared" si="19"/>
        <v>Q2 12</v>
      </c>
      <c r="J137" s="61" t="str">
        <f t="shared" si="19"/>
        <v>Q3 12</v>
      </c>
      <c r="K137" s="61" t="str">
        <f t="shared" si="19"/>
        <v>Q4 12</v>
      </c>
      <c r="L137" s="61" t="str">
        <f>L123</f>
        <v>Q1 13</v>
      </c>
      <c r="M137" s="61" t="str">
        <f>M123</f>
        <v>Q2 13</v>
      </c>
      <c r="N137" s="61" t="str">
        <f>N123</f>
        <v>Q3 13</v>
      </c>
      <c r="O137" s="61"/>
      <c r="Q137" s="92">
        <v>2010</v>
      </c>
      <c r="R137" s="92">
        <v>2011</v>
      </c>
      <c r="S137" s="92">
        <v>2012</v>
      </c>
      <c r="T137" s="61" t="s">
        <v>238</v>
      </c>
      <c r="U137" s="61" t="s">
        <v>237</v>
      </c>
    </row>
    <row r="138" spans="1:21">
      <c r="A138" s="61" t="s">
        <v>158</v>
      </c>
      <c r="B138" s="116" t="e">
        <f t="shared" ref="B138:N138" si="20">B26*100</f>
        <v>#REF!</v>
      </c>
      <c r="C138" s="116" t="e">
        <f t="shared" si="20"/>
        <v>#REF!</v>
      </c>
      <c r="D138" s="116" t="e">
        <f t="shared" si="20"/>
        <v>#REF!</v>
      </c>
      <c r="E138" s="116" t="e">
        <f t="shared" si="20"/>
        <v>#REF!</v>
      </c>
      <c r="F138" s="116" t="e">
        <f t="shared" si="20"/>
        <v>#REF!</v>
      </c>
      <c r="G138" s="116" t="e">
        <f t="shared" si="20"/>
        <v>#REF!</v>
      </c>
      <c r="H138" s="116" t="e">
        <f t="shared" si="20"/>
        <v>#REF!</v>
      </c>
      <c r="I138" s="116" t="e">
        <f t="shared" si="20"/>
        <v>#REF!</v>
      </c>
      <c r="J138" s="116" t="e">
        <f t="shared" si="20"/>
        <v>#REF!</v>
      </c>
      <c r="K138" s="116" t="e">
        <f t="shared" si="20"/>
        <v>#REF!</v>
      </c>
      <c r="L138" s="116" t="e">
        <f t="shared" si="20"/>
        <v>#REF!</v>
      </c>
      <c r="M138" s="116" t="e">
        <f>M26*100</f>
        <v>#REF!</v>
      </c>
      <c r="N138" s="116" t="e">
        <f t="shared" si="20"/>
        <v>#REF!</v>
      </c>
      <c r="O138" s="116"/>
      <c r="Q138" s="58" t="e">
        <f>C138</f>
        <v>#REF!</v>
      </c>
      <c r="R138" s="58" t="e">
        <f>G138</f>
        <v>#REF!</v>
      </c>
      <c r="S138" s="58" t="e">
        <f>K138</f>
        <v>#REF!</v>
      </c>
      <c r="T138" s="58" t="e">
        <f>I138</f>
        <v>#REF!</v>
      </c>
      <c r="U138" s="58" t="e">
        <f>N138</f>
        <v>#REF!</v>
      </c>
    </row>
    <row r="139" spans="1:21">
      <c r="E139" s="116">
        <v>5</v>
      </c>
      <c r="F139" s="116">
        <v>5</v>
      </c>
      <c r="G139" s="116">
        <v>5</v>
      </c>
      <c r="H139" s="116">
        <v>5</v>
      </c>
      <c r="I139" s="116">
        <v>5</v>
      </c>
      <c r="J139" s="116">
        <v>5</v>
      </c>
      <c r="K139" s="116">
        <v>5</v>
      </c>
      <c r="L139" s="116">
        <v>5</v>
      </c>
      <c r="M139" s="116">
        <v>5</v>
      </c>
      <c r="N139" s="116">
        <v>5</v>
      </c>
    </row>
    <row r="151" spans="1:15">
      <c r="B151" s="61" t="str">
        <f>B137</f>
        <v>Q3 10</v>
      </c>
      <c r="C151" s="61" t="str">
        <f t="shared" ref="C151:K151" si="21">C137</f>
        <v>Q4 10</v>
      </c>
      <c r="D151" s="61" t="str">
        <f t="shared" si="21"/>
        <v>Q1 11</v>
      </c>
      <c r="E151" s="61" t="str">
        <f t="shared" si="21"/>
        <v>Q2 11</v>
      </c>
      <c r="F151" s="61" t="str">
        <f t="shared" si="21"/>
        <v>Q3 11</v>
      </c>
      <c r="G151" s="61" t="str">
        <f t="shared" si="21"/>
        <v>Q4 11</v>
      </c>
      <c r="H151" s="61" t="str">
        <f t="shared" si="21"/>
        <v>Q1 12</v>
      </c>
      <c r="I151" s="61" t="str">
        <f t="shared" si="21"/>
        <v>Q2 12</v>
      </c>
      <c r="J151" s="61" t="str">
        <f t="shared" si="21"/>
        <v>Q3 12</v>
      </c>
      <c r="K151" s="61" t="str">
        <f t="shared" si="21"/>
        <v>Q4 12</v>
      </c>
      <c r="L151" s="61" t="str">
        <f>L137</f>
        <v>Q1 13</v>
      </c>
      <c r="M151" s="61" t="str">
        <f>M137</f>
        <v>Q2 13</v>
      </c>
      <c r="N151" s="61" t="str">
        <f>N137</f>
        <v>Q3 13</v>
      </c>
      <c r="O151" s="61"/>
    </row>
    <row r="152" spans="1:15">
      <c r="A152" s="61" t="s">
        <v>151</v>
      </c>
      <c r="B152" s="116" t="e">
        <f t="shared" ref="B152:N152" si="22">B12*100</f>
        <v>#REF!</v>
      </c>
      <c r="C152" s="116" t="e">
        <f t="shared" si="22"/>
        <v>#REF!</v>
      </c>
      <c r="D152" s="116" t="e">
        <f t="shared" si="22"/>
        <v>#REF!</v>
      </c>
      <c r="E152" s="116" t="e">
        <f t="shared" si="22"/>
        <v>#REF!</v>
      </c>
      <c r="F152" s="116" t="e">
        <f t="shared" si="22"/>
        <v>#REF!</v>
      </c>
      <c r="G152" s="116" t="e">
        <f t="shared" si="22"/>
        <v>#REF!</v>
      </c>
      <c r="H152" s="116" t="e">
        <f t="shared" si="22"/>
        <v>#REF!</v>
      </c>
      <c r="I152" s="116" t="e">
        <f t="shared" si="22"/>
        <v>#REF!</v>
      </c>
      <c r="J152" s="116" t="e">
        <f t="shared" si="22"/>
        <v>#REF!</v>
      </c>
      <c r="K152" s="116" t="e">
        <f t="shared" si="22"/>
        <v>#REF!</v>
      </c>
      <c r="L152" s="116" t="e">
        <f t="shared" si="22"/>
        <v>#REF!</v>
      </c>
      <c r="M152" s="116" t="e">
        <f t="shared" si="22"/>
        <v>#REF!</v>
      </c>
      <c r="N152" s="116" t="e">
        <f t="shared" si="22"/>
        <v>#REF!</v>
      </c>
      <c r="O152" s="116"/>
    </row>
    <row r="165" spans="1:15">
      <c r="B165" s="61" t="str">
        <f>B151</f>
        <v>Q3 10</v>
      </c>
      <c r="C165" s="61" t="str">
        <f t="shared" ref="C165:K165" si="23">C151</f>
        <v>Q4 10</v>
      </c>
      <c r="D165" s="61" t="str">
        <f t="shared" si="23"/>
        <v>Q1 11</v>
      </c>
      <c r="E165" s="61" t="str">
        <f t="shared" si="23"/>
        <v>Q2 11</v>
      </c>
      <c r="F165" s="61" t="str">
        <f t="shared" si="23"/>
        <v>Q3 11</v>
      </c>
      <c r="G165" s="61" t="str">
        <f t="shared" si="23"/>
        <v>Q4 11</v>
      </c>
      <c r="H165" s="61" t="str">
        <f t="shared" si="23"/>
        <v>Q1 12</v>
      </c>
      <c r="I165" s="61" t="str">
        <f t="shared" si="23"/>
        <v>Q2 12</v>
      </c>
      <c r="J165" s="61" t="str">
        <f t="shared" si="23"/>
        <v>Q3 12</v>
      </c>
      <c r="K165" s="61" t="str">
        <f t="shared" si="23"/>
        <v>Q4 12</v>
      </c>
      <c r="L165" s="61" t="str">
        <f>L151</f>
        <v>Q1 13</v>
      </c>
      <c r="M165" s="61" t="str">
        <f>M151</f>
        <v>Q2 13</v>
      </c>
      <c r="N165" s="61" t="str">
        <f>N151</f>
        <v>Q3 13</v>
      </c>
      <c r="O165" s="61"/>
    </row>
    <row r="166" spans="1:15">
      <c r="A166" s="61" t="s">
        <v>242</v>
      </c>
      <c r="B166" s="116" t="e">
        <f t="shared" ref="B166:N166" si="24">B17*100</f>
        <v>#REF!</v>
      </c>
      <c r="C166" s="116" t="e">
        <f t="shared" si="24"/>
        <v>#REF!</v>
      </c>
      <c r="D166" s="116" t="e">
        <f t="shared" si="24"/>
        <v>#REF!</v>
      </c>
      <c r="E166" s="116" t="e">
        <f t="shared" si="24"/>
        <v>#REF!</v>
      </c>
      <c r="F166" s="116" t="e">
        <f t="shared" si="24"/>
        <v>#REF!</v>
      </c>
      <c r="G166" s="116" t="e">
        <f t="shared" si="24"/>
        <v>#REF!</v>
      </c>
      <c r="H166" s="116" t="e">
        <f t="shared" si="24"/>
        <v>#REF!</v>
      </c>
      <c r="I166" s="116" t="e">
        <f t="shared" si="24"/>
        <v>#REF!</v>
      </c>
      <c r="J166" s="116" t="e">
        <f t="shared" si="24"/>
        <v>#REF!</v>
      </c>
      <c r="K166" s="116" t="e">
        <f t="shared" si="24"/>
        <v>#REF!</v>
      </c>
      <c r="L166" s="116" t="e">
        <f t="shared" si="24"/>
        <v>#REF!</v>
      </c>
      <c r="M166" s="116" t="e">
        <f>M17*100</f>
        <v>#REF!</v>
      </c>
      <c r="N166" s="116" t="e">
        <f t="shared" si="24"/>
        <v>#REF!</v>
      </c>
      <c r="O166" s="116"/>
    </row>
    <row r="167" spans="1:15">
      <c r="A167" s="61" t="s">
        <v>152</v>
      </c>
      <c r="C167" s="116">
        <v>20</v>
      </c>
      <c r="D167" s="116">
        <v>20</v>
      </c>
      <c r="E167" s="116">
        <v>20</v>
      </c>
      <c r="F167" s="116">
        <v>20</v>
      </c>
      <c r="G167" s="116">
        <v>20</v>
      </c>
      <c r="H167" s="116">
        <v>20</v>
      </c>
      <c r="I167" s="116">
        <v>20</v>
      </c>
      <c r="J167" s="116">
        <v>20</v>
      </c>
      <c r="K167" s="116">
        <v>20</v>
      </c>
      <c r="L167" s="116">
        <v>20</v>
      </c>
      <c r="M167" s="116">
        <v>20</v>
      </c>
      <c r="N167" s="116">
        <v>20</v>
      </c>
      <c r="O167" s="116"/>
    </row>
    <row r="179" spans="1:15">
      <c r="B179" s="61" t="str">
        <f>B165</f>
        <v>Q3 10</v>
      </c>
      <c r="C179" s="61" t="str">
        <f t="shared" ref="C179:K179" si="25">C165</f>
        <v>Q4 10</v>
      </c>
      <c r="D179" s="61" t="str">
        <f t="shared" si="25"/>
        <v>Q1 11</v>
      </c>
      <c r="E179" s="61" t="str">
        <f t="shared" si="25"/>
        <v>Q2 11</v>
      </c>
      <c r="F179" s="61" t="str">
        <f t="shared" si="25"/>
        <v>Q3 11</v>
      </c>
      <c r="G179" s="61" t="str">
        <f t="shared" si="25"/>
        <v>Q4 11</v>
      </c>
      <c r="H179" s="61" t="str">
        <f t="shared" si="25"/>
        <v>Q1 12</v>
      </c>
      <c r="I179" s="61" t="str">
        <f t="shared" si="25"/>
        <v>Q2 12</v>
      </c>
      <c r="J179" s="61" t="str">
        <f t="shared" si="25"/>
        <v>Q3 12</v>
      </c>
      <c r="K179" s="61" t="str">
        <f t="shared" si="25"/>
        <v>Q4 12</v>
      </c>
      <c r="L179" s="61" t="str">
        <f>L165</f>
        <v>Q1 13</v>
      </c>
      <c r="M179" s="61" t="str">
        <f>M165</f>
        <v>Q2 13</v>
      </c>
      <c r="N179" s="61" t="str">
        <f>N165</f>
        <v>Q3 13</v>
      </c>
      <c r="O179" s="61"/>
    </row>
    <row r="180" spans="1:15">
      <c r="A180" s="61" t="s">
        <v>35</v>
      </c>
      <c r="B180" s="116" t="e">
        <f t="shared" ref="B180:N180" si="26">B18*100</f>
        <v>#REF!</v>
      </c>
      <c r="C180" s="116" t="e">
        <f t="shared" si="26"/>
        <v>#REF!</v>
      </c>
      <c r="D180" s="116" t="e">
        <f t="shared" si="26"/>
        <v>#REF!</v>
      </c>
      <c r="E180" s="116" t="e">
        <f t="shared" si="26"/>
        <v>#REF!</v>
      </c>
      <c r="F180" s="116" t="e">
        <f t="shared" si="26"/>
        <v>#REF!</v>
      </c>
      <c r="G180" s="116" t="e">
        <f t="shared" si="26"/>
        <v>#REF!</v>
      </c>
      <c r="H180" s="116" t="e">
        <f t="shared" si="26"/>
        <v>#REF!</v>
      </c>
      <c r="I180" s="116" t="e">
        <f t="shared" si="26"/>
        <v>#REF!</v>
      </c>
      <c r="J180" s="116" t="e">
        <f t="shared" si="26"/>
        <v>#REF!</v>
      </c>
      <c r="K180" s="116" t="e">
        <f t="shared" si="26"/>
        <v>#REF!</v>
      </c>
      <c r="L180" s="116" t="e">
        <f t="shared" si="26"/>
        <v>#REF!</v>
      </c>
      <c r="M180" s="116" t="e">
        <f>M18*100</f>
        <v>#REF!</v>
      </c>
      <c r="N180" s="116" t="e">
        <f t="shared" si="26"/>
        <v>#REF!</v>
      </c>
      <c r="O180" s="116"/>
    </row>
    <row r="181" spans="1:15">
      <c r="A181" s="61" t="s">
        <v>153</v>
      </c>
      <c r="C181" s="116">
        <v>5</v>
      </c>
      <c r="D181" s="116">
        <v>5</v>
      </c>
      <c r="E181" s="116">
        <v>5</v>
      </c>
      <c r="F181" s="116">
        <v>5</v>
      </c>
      <c r="G181" s="116">
        <v>5</v>
      </c>
      <c r="H181" s="116">
        <v>5</v>
      </c>
      <c r="I181" s="116">
        <v>5</v>
      </c>
      <c r="J181" s="116">
        <v>5</v>
      </c>
      <c r="K181" s="116">
        <v>5</v>
      </c>
      <c r="L181" s="116">
        <v>5</v>
      </c>
      <c r="M181" s="116">
        <v>5</v>
      </c>
      <c r="N181" s="116">
        <v>5</v>
      </c>
      <c r="O181" s="116"/>
    </row>
    <row r="193" spans="1:22">
      <c r="B193" s="61" t="str">
        <f>B179</f>
        <v>Q3 10</v>
      </c>
      <c r="C193" s="61" t="str">
        <f t="shared" ref="C193:K193" si="27">C179</f>
        <v>Q4 10</v>
      </c>
      <c r="D193" s="61" t="str">
        <f t="shared" si="27"/>
        <v>Q1 11</v>
      </c>
      <c r="E193" s="61" t="str">
        <f t="shared" si="27"/>
        <v>Q2 11</v>
      </c>
      <c r="F193" s="61" t="str">
        <f t="shared" si="27"/>
        <v>Q3 11</v>
      </c>
      <c r="G193" s="61" t="str">
        <f t="shared" si="27"/>
        <v>Q4 11</v>
      </c>
      <c r="H193" s="61" t="str">
        <f t="shared" si="27"/>
        <v>Q1 12</v>
      </c>
      <c r="I193" s="61" t="str">
        <f t="shared" si="27"/>
        <v>Q2 12</v>
      </c>
      <c r="J193" s="61" t="str">
        <f t="shared" si="27"/>
        <v>Q3 12</v>
      </c>
      <c r="K193" s="61" t="str">
        <f t="shared" si="27"/>
        <v>Q4 12</v>
      </c>
      <c r="L193" s="61" t="str">
        <f>L179</f>
        <v>Q1 13</v>
      </c>
      <c r="M193" s="61" t="str">
        <f>M179</f>
        <v>Q2 13</v>
      </c>
      <c r="N193" s="61" t="str">
        <f>N179</f>
        <v>Q3 13</v>
      </c>
      <c r="O193" s="61"/>
      <c r="R193" s="92">
        <v>2010</v>
      </c>
      <c r="S193" s="92">
        <v>2011</v>
      </c>
      <c r="T193" s="92">
        <v>2012</v>
      </c>
      <c r="U193" s="61" t="s">
        <v>238</v>
      </c>
      <c r="V193" s="61" t="s">
        <v>237</v>
      </c>
    </row>
    <row r="194" spans="1:22">
      <c r="B194" s="117" t="e">
        <f>B20*100</f>
        <v>#REF!</v>
      </c>
      <c r="C194" s="117" t="e">
        <f t="shared" ref="C194:N194" si="28">C20*100</f>
        <v>#REF!</v>
      </c>
      <c r="D194" s="117" t="e">
        <f t="shared" si="28"/>
        <v>#REF!</v>
      </c>
      <c r="E194" s="117" t="e">
        <f t="shared" si="28"/>
        <v>#REF!</v>
      </c>
      <c r="F194" s="117" t="e">
        <f t="shared" si="28"/>
        <v>#REF!</v>
      </c>
      <c r="G194" s="117" t="e">
        <f t="shared" si="28"/>
        <v>#REF!</v>
      </c>
      <c r="H194" s="117" t="e">
        <f t="shared" si="28"/>
        <v>#REF!</v>
      </c>
      <c r="I194" s="117" t="e">
        <f t="shared" si="28"/>
        <v>#REF!</v>
      </c>
      <c r="J194" s="117" t="e">
        <f t="shared" si="28"/>
        <v>#REF!</v>
      </c>
      <c r="K194" s="117" t="e">
        <f t="shared" si="28"/>
        <v>#REF!</v>
      </c>
      <c r="L194" s="117" t="e">
        <f t="shared" si="28"/>
        <v>#REF!</v>
      </c>
      <c r="M194" s="117" t="e">
        <f>M20*100</f>
        <v>#REF!</v>
      </c>
      <c r="N194" s="117" t="e">
        <f t="shared" si="28"/>
        <v>#REF!</v>
      </c>
      <c r="O194" s="117"/>
      <c r="R194" s="87" t="e">
        <f>C194</f>
        <v>#REF!</v>
      </c>
      <c r="S194" s="87" t="e">
        <f>G194</f>
        <v>#REF!</v>
      </c>
      <c r="T194" s="87" t="e">
        <f>K194</f>
        <v>#REF!</v>
      </c>
      <c r="U194" s="87" t="e">
        <f>I194</f>
        <v>#REF!</v>
      </c>
      <c r="V194" s="87" t="e">
        <f>N194</f>
        <v>#REF!</v>
      </c>
    </row>
    <row r="195" spans="1:22">
      <c r="B195" s="87" t="e">
        <f t="shared" ref="B195:L195" si="29">B196-B194</f>
        <v>#REF!</v>
      </c>
      <c r="C195" s="87" t="e">
        <f t="shared" si="29"/>
        <v>#REF!</v>
      </c>
      <c r="D195" s="87" t="e">
        <f t="shared" si="29"/>
        <v>#REF!</v>
      </c>
      <c r="E195" s="87" t="e">
        <f t="shared" si="29"/>
        <v>#REF!</v>
      </c>
      <c r="F195" s="87" t="e">
        <f t="shared" si="29"/>
        <v>#REF!</v>
      </c>
      <c r="G195" s="87" t="e">
        <f t="shared" si="29"/>
        <v>#REF!</v>
      </c>
      <c r="H195" s="87" t="e">
        <f t="shared" si="29"/>
        <v>#REF!</v>
      </c>
      <c r="I195" s="87" t="e">
        <f t="shared" si="29"/>
        <v>#REF!</v>
      </c>
      <c r="J195" s="87" t="e">
        <f t="shared" si="29"/>
        <v>#REF!</v>
      </c>
      <c r="K195" s="87" t="e">
        <f t="shared" si="29"/>
        <v>#REF!</v>
      </c>
      <c r="L195" s="87" t="e">
        <f t="shared" si="29"/>
        <v>#REF!</v>
      </c>
      <c r="M195" s="87" t="e">
        <f>M196-M194</f>
        <v>#REF!</v>
      </c>
      <c r="N195" s="87" t="e">
        <f>N196-N194</f>
        <v>#REF!</v>
      </c>
      <c r="O195" s="117"/>
      <c r="R195" s="87" t="e">
        <f>R196-R194</f>
        <v>#REF!</v>
      </c>
      <c r="S195" s="87" t="e">
        <f>S196-S194</f>
        <v>#REF!</v>
      </c>
      <c r="T195" s="87" t="e">
        <f>T196-T194</f>
        <v>#REF!</v>
      </c>
      <c r="U195" s="87" t="e">
        <f>U196-U194</f>
        <v>#REF!</v>
      </c>
      <c r="V195" s="87" t="e">
        <f>V196-V194</f>
        <v>#REF!</v>
      </c>
    </row>
    <row r="196" spans="1:22">
      <c r="A196" s="61" t="s">
        <v>257</v>
      </c>
      <c r="B196" s="117" t="e">
        <f t="shared" ref="B196:N196" si="30">B19*100</f>
        <v>#REF!</v>
      </c>
      <c r="C196" s="117" t="e">
        <f t="shared" si="30"/>
        <v>#REF!</v>
      </c>
      <c r="D196" s="117" t="e">
        <f t="shared" si="30"/>
        <v>#REF!</v>
      </c>
      <c r="E196" s="117" t="e">
        <f t="shared" si="30"/>
        <v>#REF!</v>
      </c>
      <c r="F196" s="117" t="e">
        <f t="shared" si="30"/>
        <v>#REF!</v>
      </c>
      <c r="G196" s="117" t="e">
        <f t="shared" si="30"/>
        <v>#REF!</v>
      </c>
      <c r="H196" s="117" t="e">
        <f t="shared" si="30"/>
        <v>#REF!</v>
      </c>
      <c r="I196" s="117" t="e">
        <f t="shared" si="30"/>
        <v>#REF!</v>
      </c>
      <c r="J196" s="117" t="e">
        <f t="shared" si="30"/>
        <v>#REF!</v>
      </c>
      <c r="K196" s="117" t="e">
        <f t="shared" si="30"/>
        <v>#REF!</v>
      </c>
      <c r="L196" s="117" t="e">
        <f t="shared" si="30"/>
        <v>#REF!</v>
      </c>
      <c r="M196" s="117" t="e">
        <f>M19*100</f>
        <v>#REF!</v>
      </c>
      <c r="N196" s="117" t="e">
        <f t="shared" si="30"/>
        <v>#REF!</v>
      </c>
      <c r="R196" s="87" t="e">
        <f>C196</f>
        <v>#REF!</v>
      </c>
      <c r="S196" s="87" t="e">
        <f>G196</f>
        <v>#REF!</v>
      </c>
      <c r="T196" s="87" t="e">
        <f>K196</f>
        <v>#REF!</v>
      </c>
      <c r="U196" s="87" t="e">
        <f>I196</f>
        <v>#REF!</v>
      </c>
      <c r="V196" s="87" t="e">
        <f>N196</f>
        <v>#REF!</v>
      </c>
    </row>
    <row r="197" spans="1:22">
      <c r="E197" s="117">
        <v>130</v>
      </c>
      <c r="F197" s="117">
        <v>130</v>
      </c>
      <c r="G197" s="117">
        <v>130</v>
      </c>
      <c r="H197" s="117">
        <v>130</v>
      </c>
      <c r="I197" s="117">
        <v>130</v>
      </c>
      <c r="J197" s="117">
        <v>130</v>
      </c>
      <c r="K197" s="117">
        <v>130</v>
      </c>
      <c r="L197" s="117">
        <v>130</v>
      </c>
      <c r="M197" s="117">
        <v>130</v>
      </c>
      <c r="N197" s="117">
        <v>130</v>
      </c>
    </row>
    <row r="208" spans="1:22">
      <c r="B208" s="61" t="str">
        <f>B193</f>
        <v>Q3 10</v>
      </c>
      <c r="C208" s="61" t="str">
        <f t="shared" ref="C208:K208" si="31">C193</f>
        <v>Q4 10</v>
      </c>
      <c r="D208" s="61" t="str">
        <f t="shared" si="31"/>
        <v>Q1 11</v>
      </c>
      <c r="E208" s="61" t="str">
        <f t="shared" si="31"/>
        <v>Q2 11</v>
      </c>
      <c r="F208" s="61" t="str">
        <f t="shared" si="31"/>
        <v>Q3 11</v>
      </c>
      <c r="G208" s="61" t="str">
        <f t="shared" si="31"/>
        <v>Q4 11</v>
      </c>
      <c r="H208" s="61" t="str">
        <f t="shared" si="31"/>
        <v>Q1 12</v>
      </c>
      <c r="I208" s="61" t="str">
        <f t="shared" si="31"/>
        <v>Q2 12</v>
      </c>
      <c r="J208" s="61" t="str">
        <f t="shared" si="31"/>
        <v>Q3 12</v>
      </c>
      <c r="K208" s="61" t="str">
        <f t="shared" si="31"/>
        <v>Q4 12</v>
      </c>
      <c r="L208" s="61" t="str">
        <f>L193</f>
        <v>Q1 13</v>
      </c>
      <c r="M208" s="61"/>
      <c r="N208" s="61" t="e">
        <f>N194</f>
        <v>#REF!</v>
      </c>
      <c r="O208" s="61"/>
    </row>
    <row r="209" spans="1:16">
      <c r="A209" s="61" t="s">
        <v>154</v>
      </c>
      <c r="B209" s="116" t="e">
        <f>#REF!*100</f>
        <v>#REF!</v>
      </c>
      <c r="C209" s="116" t="e">
        <f>#REF!*100</f>
        <v>#REF!</v>
      </c>
      <c r="D209" s="116" t="e">
        <f>#REF!*100</f>
        <v>#REF!</v>
      </c>
      <c r="E209" s="116" t="e">
        <f>#REF!*100</f>
        <v>#REF!</v>
      </c>
      <c r="F209" s="116" t="e">
        <f>#REF!*100</f>
        <v>#REF!</v>
      </c>
      <c r="G209" s="116" t="e">
        <f>#REF!*100</f>
        <v>#REF!</v>
      </c>
      <c r="H209" s="116" t="e">
        <f>#REF!*100</f>
        <v>#REF!</v>
      </c>
      <c r="I209" s="116" t="e">
        <f>#REF!*100</f>
        <v>#REF!</v>
      </c>
      <c r="J209" s="116" t="e">
        <f>#REF!*100</f>
        <v>#REF!</v>
      </c>
      <c r="K209" s="116" t="e">
        <f>#REF!*100</f>
        <v>#REF!</v>
      </c>
      <c r="L209" s="116" t="e">
        <f>#REF!*100</f>
        <v>#REF!</v>
      </c>
      <c r="M209" s="116"/>
      <c r="N209" s="116" t="e">
        <f>#REF!*100</f>
        <v>#REF!</v>
      </c>
      <c r="O209" s="116"/>
      <c r="P209" s="116"/>
    </row>
    <row r="223" spans="1:16">
      <c r="B223" s="61" t="str">
        <f>B208</f>
        <v>Q3 10</v>
      </c>
      <c r="C223" s="61" t="str">
        <f>C208</f>
        <v>Q4 10</v>
      </c>
      <c r="D223" s="61" t="str">
        <f>D208</f>
        <v>Q1 11</v>
      </c>
      <c r="E223" s="61" t="str">
        <f>E208</f>
        <v>Q2 11</v>
      </c>
      <c r="F223" s="61" t="str">
        <f>F208</f>
        <v>Q3 11</v>
      </c>
      <c r="G223" s="61">
        <v>2010</v>
      </c>
      <c r="H223" s="61">
        <v>2011</v>
      </c>
      <c r="I223" s="61">
        <v>2012</v>
      </c>
      <c r="J223" s="61" t="s">
        <v>260</v>
      </c>
    </row>
    <row r="224" spans="1:16">
      <c r="A224" s="61" t="s">
        <v>130</v>
      </c>
      <c r="G224" s="11">
        <v>11.1</v>
      </c>
      <c r="H224" s="11" t="e">
        <f>#REF!</f>
        <v>#REF!</v>
      </c>
      <c r="I224" s="58" t="e">
        <f>#REF!</f>
        <v>#REF!</v>
      </c>
      <c r="J224" s="58" t="e">
        <f>#REF!</f>
        <v>#REF!</v>
      </c>
    </row>
    <row r="237" spans="1:14">
      <c r="B237" s="61" t="str">
        <f>B179</f>
        <v>Q3 10</v>
      </c>
      <c r="C237" s="61" t="str">
        <f t="shared" ref="C237:N237" si="32">C179</f>
        <v>Q4 10</v>
      </c>
      <c r="D237" s="61" t="str">
        <f t="shared" si="32"/>
        <v>Q1 11</v>
      </c>
      <c r="E237" s="61" t="str">
        <f t="shared" si="32"/>
        <v>Q2 11</v>
      </c>
      <c r="F237" s="61" t="str">
        <f t="shared" si="32"/>
        <v>Q3 11</v>
      </c>
      <c r="G237" s="61" t="str">
        <f t="shared" si="32"/>
        <v>Q4 11</v>
      </c>
      <c r="H237" s="61" t="str">
        <f t="shared" si="32"/>
        <v>Q1 12</v>
      </c>
      <c r="I237" s="61" t="str">
        <f t="shared" si="32"/>
        <v>Q2 12</v>
      </c>
      <c r="J237" s="61" t="str">
        <f t="shared" si="32"/>
        <v>Q3 12</v>
      </c>
      <c r="K237" s="61" t="str">
        <f t="shared" si="32"/>
        <v>Q4 12</v>
      </c>
      <c r="L237" s="61" t="str">
        <f t="shared" si="32"/>
        <v>Q1 13</v>
      </c>
      <c r="M237" s="61" t="str">
        <f t="shared" si="32"/>
        <v>Q2 13</v>
      </c>
      <c r="N237" s="61" t="str">
        <f t="shared" si="32"/>
        <v>Q3 13</v>
      </c>
    </row>
    <row r="238" spans="1:14">
      <c r="A238" s="11" t="s">
        <v>105</v>
      </c>
      <c r="D238" s="47">
        <v>9.5</v>
      </c>
      <c r="E238" s="11">
        <v>15</v>
      </c>
      <c r="F238" s="11">
        <v>9.5</v>
      </c>
      <c r="G238" s="11">
        <v>-0.7</v>
      </c>
      <c r="H238" s="11">
        <v>10.9</v>
      </c>
      <c r="I238" s="11">
        <v>14.1</v>
      </c>
      <c r="J238" s="11">
        <v>9.4</v>
      </c>
      <c r="K238" s="11">
        <v>10.5</v>
      </c>
      <c r="L238" s="11">
        <f>20.8-12.1</f>
        <v>8.7000000000000011</v>
      </c>
      <c r="M238" s="11">
        <v>12.1</v>
      </c>
    </row>
    <row r="242" spans="1:16">
      <c r="P242" s="11" t="s">
        <v>105</v>
      </c>
    </row>
    <row r="243" spans="1:16">
      <c r="B243" s="61" t="str">
        <f>B237</f>
        <v>Q3 10</v>
      </c>
      <c r="C243" s="61" t="str">
        <f t="shared" ref="C243:N243" si="33">C237</f>
        <v>Q4 10</v>
      </c>
      <c r="D243" s="61" t="str">
        <f t="shared" si="33"/>
        <v>Q1 11</v>
      </c>
      <c r="E243" s="61" t="str">
        <f t="shared" si="33"/>
        <v>Q2 11</v>
      </c>
      <c r="F243" s="61" t="str">
        <f t="shared" si="33"/>
        <v>Q3 11</v>
      </c>
      <c r="G243" s="61" t="str">
        <f t="shared" si="33"/>
        <v>Q4 11</v>
      </c>
      <c r="H243" s="61" t="str">
        <f t="shared" si="33"/>
        <v>Q1 12</v>
      </c>
      <c r="I243" s="61" t="str">
        <f t="shared" si="33"/>
        <v>Q2 12</v>
      </c>
      <c r="J243" s="61" t="str">
        <f t="shared" si="33"/>
        <v>Q3 12</v>
      </c>
      <c r="K243" s="61" t="str">
        <f t="shared" si="33"/>
        <v>Q4 12</v>
      </c>
      <c r="L243" s="61" t="str">
        <f t="shared" si="33"/>
        <v>Q1 13</v>
      </c>
      <c r="M243" s="61" t="str">
        <f t="shared" si="33"/>
        <v>Q2 13</v>
      </c>
      <c r="N243" s="61" t="str">
        <f t="shared" si="33"/>
        <v>Q3 13</v>
      </c>
    </row>
    <row r="244" spans="1:16">
      <c r="A244" s="11" t="s">
        <v>258</v>
      </c>
      <c r="D244" s="47">
        <v>3</v>
      </c>
      <c r="E244" s="11">
        <v>7.2</v>
      </c>
      <c r="F244" s="11">
        <v>3.4</v>
      </c>
      <c r="G244" s="11">
        <v>-2.6</v>
      </c>
      <c r="H244" s="11">
        <v>4.5</v>
      </c>
      <c r="I244" s="11">
        <v>6.8</v>
      </c>
      <c r="J244" s="11">
        <v>3.3</v>
      </c>
      <c r="K244" s="11">
        <v>2.5</v>
      </c>
      <c r="L244" s="11">
        <f>5.9-4.5</f>
        <v>1.4000000000000004</v>
      </c>
      <c r="M244" s="11">
        <v>4.5</v>
      </c>
    </row>
    <row r="252" spans="1:16">
      <c r="P252" s="11"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A2:V414"/>
  <sheetViews>
    <sheetView showGridLines="0" workbookViewId="0">
      <selection activeCell="S21" sqref="S21"/>
    </sheetView>
  </sheetViews>
  <sheetFormatPr defaultColWidth="9.140625" defaultRowHeight="15" outlineLevelRow="1" outlineLevelCol="1"/>
  <cols>
    <col min="1" max="1" width="7.85546875" style="15" customWidth="1"/>
    <col min="2" max="2" width="45.28515625" style="15" customWidth="1"/>
    <col min="3" max="4" width="11.7109375" style="15" customWidth="1"/>
    <col min="5" max="8" width="11.7109375" style="15" hidden="1" customWidth="1" outlineLevel="1"/>
    <col min="9" max="9" width="7.7109375" style="15" customWidth="1" collapsed="1"/>
    <col min="10" max="10" width="7.7109375" style="15" customWidth="1"/>
    <col min="11" max="12" width="10.7109375" style="15" customWidth="1"/>
    <col min="13" max="13" width="6.28515625" bestFit="1" customWidth="1"/>
    <col min="14" max="14" width="10.7109375" customWidth="1"/>
    <col min="15" max="15" width="10.7109375" style="15" customWidth="1"/>
    <col min="16" max="16" width="9.140625" customWidth="1" outlineLevel="1"/>
    <col min="17" max="17" width="6.7109375" style="15" customWidth="1"/>
    <col min="18" max="18" width="9.140625" style="15"/>
    <col min="19" max="19" width="9.85546875" style="15" bestFit="1" customWidth="1"/>
    <col min="20" max="16384" width="9.140625" style="15"/>
  </cols>
  <sheetData>
    <row r="2" spans="2:22" ht="15.75" customHeight="1">
      <c r="B2" s="140" t="s">
        <v>209</v>
      </c>
      <c r="C2" s="140"/>
      <c r="D2" s="140"/>
      <c r="E2" s="140"/>
      <c r="F2" s="140"/>
      <c r="G2" s="62"/>
      <c r="H2" s="118"/>
      <c r="I2" s="157"/>
      <c r="J2" s="226"/>
      <c r="K2" s="29"/>
      <c r="L2" s="29"/>
      <c r="Q2" s="17"/>
      <c r="S2" s="17"/>
      <c r="T2" s="21"/>
      <c r="U2" s="20"/>
    </row>
    <row r="3" spans="2:22" s="20" customFormat="1" ht="5.25" customHeight="1">
      <c r="B3" s="55"/>
      <c r="C3" s="226"/>
      <c r="D3" s="226"/>
      <c r="E3" s="226"/>
      <c r="F3" s="170"/>
      <c r="T3" s="22"/>
    </row>
    <row r="4" spans="2:22" ht="16.5" customHeight="1">
      <c r="B4" s="65" t="s">
        <v>22</v>
      </c>
      <c r="C4" s="66" t="s">
        <v>269</v>
      </c>
      <c r="D4" s="66" t="s">
        <v>268</v>
      </c>
      <c r="E4" s="66" t="s">
        <v>267</v>
      </c>
      <c r="F4" s="66" t="s">
        <v>262</v>
      </c>
      <c r="G4" s="66" t="s">
        <v>235</v>
      </c>
      <c r="H4" s="66" t="s">
        <v>231</v>
      </c>
      <c r="I4" s="66" t="s">
        <v>36</v>
      </c>
      <c r="J4" s="66" t="s">
        <v>58</v>
      </c>
      <c r="K4" s="66" t="s">
        <v>132</v>
      </c>
      <c r="L4" s="66" t="s">
        <v>157</v>
      </c>
      <c r="N4" s="66" t="s">
        <v>293</v>
      </c>
      <c r="O4" s="66" t="s">
        <v>294</v>
      </c>
      <c r="P4" s="66" t="s">
        <v>58</v>
      </c>
      <c r="Q4" s="66" t="s">
        <v>36</v>
      </c>
      <c r="R4" s="37"/>
      <c r="T4" s="24"/>
      <c r="U4" s="20"/>
    </row>
    <row r="5" spans="2:22" ht="16.5" customHeight="1">
      <c r="B5" s="67" t="s">
        <v>0</v>
      </c>
      <c r="C5" s="221" t="e">
        <f>+#REF!</f>
        <v>#REF!</v>
      </c>
      <c r="D5" s="221" t="e">
        <f>#REF!</f>
        <v>#REF!</v>
      </c>
      <c r="E5" s="221" t="e">
        <f>#REF!</f>
        <v>#REF!</v>
      </c>
      <c r="F5" s="221" t="e">
        <f>#REF!</f>
        <v>#REF!</v>
      </c>
      <c r="G5" s="221" t="e">
        <f>#REF!</f>
        <v>#REF!</v>
      </c>
      <c r="H5" s="221" t="e">
        <f>#REF!</f>
        <v>#REF!</v>
      </c>
      <c r="I5" s="76" t="e">
        <f t="shared" ref="I5:I18" si="0">C5/G5-1</f>
        <v>#REF!</v>
      </c>
      <c r="J5" s="231" t="e">
        <f t="shared" ref="J5:J17" si="1">C5-G5</f>
        <v>#REF!</v>
      </c>
      <c r="K5" s="68" t="e">
        <f>#REF!</f>
        <v>#REF!</v>
      </c>
      <c r="L5" s="68" t="e">
        <f>#REF!</f>
        <v>#REF!</v>
      </c>
      <c r="N5" s="68" t="e">
        <f>+SUM(C5:D5)</f>
        <v>#REF!</v>
      </c>
      <c r="O5" s="68">
        <v>12667</v>
      </c>
      <c r="P5" s="142" t="e">
        <f>N5-O5</f>
        <v>#REF!</v>
      </c>
      <c r="Q5" s="75" t="e">
        <f t="shared" ref="Q5:Q18" si="2">N5/O5-1</f>
        <v>#REF!</v>
      </c>
      <c r="R5" s="26"/>
      <c r="S5" s="17" t="e">
        <f>G5-H5</f>
        <v>#REF!</v>
      </c>
      <c r="T5" s="17"/>
      <c r="V5" s="17"/>
    </row>
    <row r="6" spans="2:22" ht="16.5" customHeight="1">
      <c r="B6" s="69" t="s">
        <v>70</v>
      </c>
      <c r="C6" s="221" t="e">
        <f>#REF!</f>
        <v>#REF!</v>
      </c>
      <c r="D6" s="221" t="e">
        <f>#REF!</f>
        <v>#REF!</v>
      </c>
      <c r="E6" s="221" t="e">
        <f>#REF!</f>
        <v>#REF!</v>
      </c>
      <c r="F6" s="221" t="e">
        <f>#REF!</f>
        <v>#REF!</v>
      </c>
      <c r="G6" s="221" t="e">
        <f>#REF!</f>
        <v>#REF!</v>
      </c>
      <c r="H6" s="221" t="e">
        <f>#REF!</f>
        <v>#REF!</v>
      </c>
      <c r="I6" s="76" t="e">
        <f t="shared" si="0"/>
        <v>#REF!</v>
      </c>
      <c r="J6" s="231" t="e">
        <f t="shared" si="1"/>
        <v>#REF!</v>
      </c>
      <c r="K6" s="68" t="e">
        <f>#REF!</f>
        <v>#REF!</v>
      </c>
      <c r="L6" s="70" t="e">
        <f>#REF!</f>
        <v>#REF!</v>
      </c>
      <c r="N6" s="68" t="e">
        <f>+SUM(C6:D6)</f>
        <v>#REF!</v>
      </c>
      <c r="O6" s="68">
        <v>134</v>
      </c>
      <c r="P6" s="142" t="e">
        <f t="shared" ref="P6:P21" si="3">N6-O6</f>
        <v>#REF!</v>
      </c>
      <c r="Q6" s="75" t="e">
        <f t="shared" si="2"/>
        <v>#REF!</v>
      </c>
      <c r="R6" s="19"/>
      <c r="S6" s="17" t="e">
        <f>G6-H6</f>
        <v>#REF!</v>
      </c>
      <c r="T6" s="25"/>
      <c r="U6" s="20"/>
    </row>
    <row r="7" spans="2:22" ht="16.5" customHeight="1">
      <c r="B7" s="67" t="s">
        <v>1</v>
      </c>
      <c r="C7" s="221" t="e">
        <f>#REF!</f>
        <v>#REF!</v>
      </c>
      <c r="D7" s="221" t="e">
        <f>#REF!</f>
        <v>#REF!</v>
      </c>
      <c r="E7" s="221" t="e">
        <f>#REF!</f>
        <v>#REF!</v>
      </c>
      <c r="F7" s="221" t="e">
        <f>#REF!</f>
        <v>#REF!</v>
      </c>
      <c r="G7" s="221" t="e">
        <f>#REF!</f>
        <v>#REF!</v>
      </c>
      <c r="H7" s="221" t="e">
        <f>#REF!</f>
        <v>#REF!</v>
      </c>
      <c r="I7" s="76" t="e">
        <f t="shared" si="0"/>
        <v>#REF!</v>
      </c>
      <c r="J7" s="231" t="e">
        <f t="shared" si="1"/>
        <v>#REF!</v>
      </c>
      <c r="K7" s="68" t="e">
        <f>#REF!</f>
        <v>#REF!</v>
      </c>
      <c r="L7" s="68" t="e">
        <f>#REF!</f>
        <v>#REF!</v>
      </c>
      <c r="N7" s="68" t="e">
        <f>SUM(C7:D7)</f>
        <v>#REF!</v>
      </c>
      <c r="O7" s="68">
        <v>5298</v>
      </c>
      <c r="P7" s="142" t="e">
        <f t="shared" si="3"/>
        <v>#REF!</v>
      </c>
      <c r="Q7" s="75" t="e">
        <f t="shared" si="2"/>
        <v>#REF!</v>
      </c>
      <c r="R7" s="19"/>
      <c r="S7" s="17" t="e">
        <f>G7-H7</f>
        <v>#REF!</v>
      </c>
    </row>
    <row r="8" spans="2:22" ht="16.5" customHeight="1">
      <c r="B8" s="67" t="s">
        <v>2</v>
      </c>
      <c r="C8" s="221" t="e">
        <f>#REF!</f>
        <v>#REF!</v>
      </c>
      <c r="D8" s="221" t="e">
        <f>#REF!</f>
        <v>#REF!</v>
      </c>
      <c r="E8" s="221" t="e">
        <f>#REF!</f>
        <v>#REF!</v>
      </c>
      <c r="F8" s="221" t="e">
        <f>#REF!</f>
        <v>#REF!</v>
      </c>
      <c r="G8" s="221" t="e">
        <f>#REF!</f>
        <v>#REF!</v>
      </c>
      <c r="H8" s="221" t="e">
        <f>#REF!</f>
        <v>#REF!</v>
      </c>
      <c r="I8" s="76" t="e">
        <f t="shared" si="0"/>
        <v>#REF!</v>
      </c>
      <c r="J8" s="231" t="e">
        <f t="shared" si="1"/>
        <v>#REF!</v>
      </c>
      <c r="K8" s="68" t="e">
        <f>#REF!</f>
        <v>#REF!</v>
      </c>
      <c r="L8" s="68" t="e">
        <f>#REF!</f>
        <v>#REF!</v>
      </c>
      <c r="N8" s="68" t="e">
        <f>SUM(C8:D8)</f>
        <v>#REF!</v>
      </c>
      <c r="O8" s="68">
        <v>296</v>
      </c>
      <c r="P8" s="142" t="e">
        <f t="shared" si="3"/>
        <v>#REF!</v>
      </c>
      <c r="Q8" s="75" t="e">
        <f t="shared" si="2"/>
        <v>#REF!</v>
      </c>
      <c r="R8" s="19"/>
      <c r="S8" s="17" t="e">
        <f>G8-H8</f>
        <v>#REF!</v>
      </c>
    </row>
    <row r="9" spans="2:22" ht="16.5" customHeight="1">
      <c r="B9" s="67" t="s">
        <v>3</v>
      </c>
      <c r="C9" s="221" t="e">
        <f>#REF!</f>
        <v>#REF!</v>
      </c>
      <c r="D9" s="221" t="e">
        <f>#REF!</f>
        <v>#REF!</v>
      </c>
      <c r="E9" s="221" t="e">
        <f>#REF!</f>
        <v>#REF!</v>
      </c>
      <c r="F9" s="221" t="e">
        <f>#REF!</f>
        <v>#REF!</v>
      </c>
      <c r="G9" s="221" t="e">
        <f>#REF!</f>
        <v>#REF!</v>
      </c>
      <c r="H9" s="221" t="e">
        <f>#REF!</f>
        <v>#REF!</v>
      </c>
      <c r="I9" s="76" t="e">
        <f t="shared" si="0"/>
        <v>#REF!</v>
      </c>
      <c r="J9" s="231" t="e">
        <f t="shared" si="1"/>
        <v>#REF!</v>
      </c>
      <c r="K9" s="68" t="e">
        <f>#REF!</f>
        <v>#REF!</v>
      </c>
      <c r="L9" s="68" t="e">
        <f>#REF!</f>
        <v>#REF!</v>
      </c>
      <c r="N9" s="68" t="e">
        <f>SUM(C9:D9)</f>
        <v>#REF!</v>
      </c>
      <c r="O9" s="68">
        <v>2425</v>
      </c>
      <c r="P9" s="142" t="e">
        <f t="shared" si="3"/>
        <v>#REF!</v>
      </c>
      <c r="Q9" s="75" t="e">
        <f t="shared" si="2"/>
        <v>#REF!</v>
      </c>
      <c r="R9" s="19"/>
      <c r="S9" s="17" t="e">
        <f>G9-H9</f>
        <v>#REF!</v>
      </c>
    </row>
    <row r="10" spans="2:22" ht="16.5" customHeight="1">
      <c r="B10" s="227" t="s">
        <v>4</v>
      </c>
      <c r="C10" s="228" t="e">
        <f t="shared" ref="C10:H10" si="4">+SUM(C7:C9)</f>
        <v>#REF!</v>
      </c>
      <c r="D10" s="228" t="e">
        <f t="shared" si="4"/>
        <v>#REF!</v>
      </c>
      <c r="E10" s="228" t="e">
        <f t="shared" si="4"/>
        <v>#REF!</v>
      </c>
      <c r="F10" s="228" t="e">
        <f t="shared" si="4"/>
        <v>#REF!</v>
      </c>
      <c r="G10" s="228" t="e">
        <f t="shared" si="4"/>
        <v>#REF!</v>
      </c>
      <c r="H10" s="228" t="e">
        <f t="shared" si="4"/>
        <v>#REF!</v>
      </c>
      <c r="I10" s="229" t="e">
        <f t="shared" si="0"/>
        <v>#REF!</v>
      </c>
      <c r="J10" s="230" t="e">
        <f t="shared" si="1"/>
        <v>#REF!</v>
      </c>
      <c r="K10" s="230" t="e">
        <f>+SUM(K7:K9)</f>
        <v>#REF!</v>
      </c>
      <c r="L10" s="230" t="e">
        <f>+SUM(L7:L9)</f>
        <v>#REF!</v>
      </c>
      <c r="N10" s="230" t="e">
        <f>+SUM(N7:N9)</f>
        <v>#REF!</v>
      </c>
      <c r="O10" s="230">
        <f>+SUM(O7:O9)</f>
        <v>8019</v>
      </c>
      <c r="P10" s="230" t="e">
        <f t="shared" si="3"/>
        <v>#REF!</v>
      </c>
      <c r="Q10" s="232" t="e">
        <f t="shared" si="2"/>
        <v>#REF!</v>
      </c>
      <c r="R10" s="19"/>
    </row>
    <row r="11" spans="2:22" ht="16.5" customHeight="1">
      <c r="B11" s="67" t="s">
        <v>5</v>
      </c>
      <c r="C11" s="221" t="e">
        <f>#REF!</f>
        <v>#REF!</v>
      </c>
      <c r="D11" s="221" t="e">
        <f>#REF!</f>
        <v>#REF!</v>
      </c>
      <c r="E11" s="221" t="e">
        <f>#REF!</f>
        <v>#REF!</v>
      </c>
      <c r="F11" s="221" t="e">
        <f>#REF!</f>
        <v>#REF!</v>
      </c>
      <c r="G11" s="221" t="e">
        <f>#REF!</f>
        <v>#REF!</v>
      </c>
      <c r="H11" s="221" t="e">
        <f>#REF!</f>
        <v>#REF!</v>
      </c>
      <c r="I11" s="76" t="e">
        <f t="shared" si="0"/>
        <v>#REF!</v>
      </c>
      <c r="J11" s="231" t="e">
        <f t="shared" si="1"/>
        <v>#REF!</v>
      </c>
      <c r="K11" s="68" t="e">
        <f>#REF!</f>
        <v>#REF!</v>
      </c>
      <c r="L11" s="68" t="e">
        <f>#REF!</f>
        <v>#REF!</v>
      </c>
      <c r="N11" s="68" t="e">
        <f>SUM(C11:D11)</f>
        <v>#REF!</v>
      </c>
      <c r="O11" s="68">
        <v>-6679</v>
      </c>
      <c r="P11" s="142" t="e">
        <f t="shared" si="3"/>
        <v>#REF!</v>
      </c>
      <c r="Q11" s="75" t="e">
        <f t="shared" si="2"/>
        <v>#REF!</v>
      </c>
      <c r="R11" s="19"/>
    </row>
    <row r="12" spans="2:22" ht="16.5" customHeight="1">
      <c r="B12" s="67" t="s">
        <v>6</v>
      </c>
      <c r="C12" s="221" t="e">
        <f>#REF!</f>
        <v>#REF!</v>
      </c>
      <c r="D12" s="221" t="e">
        <f>#REF!</f>
        <v>#REF!</v>
      </c>
      <c r="E12" s="221" t="e">
        <f>#REF!</f>
        <v>#REF!</v>
      </c>
      <c r="F12" s="221" t="e">
        <f>#REF!</f>
        <v>#REF!</v>
      </c>
      <c r="G12" s="221" t="e">
        <f>#REF!</f>
        <v>#REF!</v>
      </c>
      <c r="H12" s="221" t="e">
        <f>#REF!</f>
        <v>#REF!</v>
      </c>
      <c r="I12" s="76" t="e">
        <f t="shared" si="0"/>
        <v>#REF!</v>
      </c>
      <c r="J12" s="231" t="e">
        <f t="shared" si="1"/>
        <v>#REF!</v>
      </c>
      <c r="K12" s="68" t="e">
        <f>#REF!</f>
        <v>#REF!</v>
      </c>
      <c r="L12" s="68" t="e">
        <f>#REF!</f>
        <v>#REF!</v>
      </c>
      <c r="N12" s="68" t="e">
        <f>SUM(C12:D12)</f>
        <v>#REF!</v>
      </c>
      <c r="O12" s="68">
        <v>-6228</v>
      </c>
      <c r="P12" s="142" t="e">
        <f t="shared" si="3"/>
        <v>#REF!</v>
      </c>
      <c r="Q12" s="75" t="e">
        <f t="shared" si="2"/>
        <v>#REF!</v>
      </c>
      <c r="R12" s="19"/>
    </row>
    <row r="13" spans="2:22" ht="16.5" customHeight="1">
      <c r="B13" s="67" t="s">
        <v>70</v>
      </c>
      <c r="C13" s="221" t="e">
        <f>+#REF!</f>
        <v>#REF!</v>
      </c>
      <c r="D13" s="221" t="e">
        <f>+#REF!</f>
        <v>#REF!</v>
      </c>
      <c r="E13" s="221" t="e">
        <f>+#REF!</f>
        <v>#REF!</v>
      </c>
      <c r="F13" s="221" t="e">
        <f>#REF!</f>
        <v>#REF!</v>
      </c>
      <c r="G13" s="221" t="e">
        <f>#REF!</f>
        <v>#REF!</v>
      </c>
      <c r="H13" s="221" t="e">
        <f>+SUM(H5:H6)</f>
        <v>#REF!</v>
      </c>
      <c r="I13" s="76" t="e">
        <f t="shared" si="0"/>
        <v>#REF!</v>
      </c>
      <c r="J13" s="231" t="e">
        <f t="shared" si="1"/>
        <v>#REF!</v>
      </c>
      <c r="K13" s="68" t="e">
        <f>#REF!</f>
        <v>#REF!</v>
      </c>
      <c r="L13" s="68" t="e">
        <f>#REF!</f>
        <v>#REF!</v>
      </c>
      <c r="N13" s="68" t="e">
        <f>SUM(C13:D13)</f>
        <v>#REF!</v>
      </c>
      <c r="O13" s="68"/>
      <c r="P13" s="142" t="e">
        <f>N13-O13</f>
        <v>#REF!</v>
      </c>
      <c r="Q13" s="75" t="e">
        <f>N13/O13-1</f>
        <v>#REF!</v>
      </c>
      <c r="R13" s="19"/>
    </row>
    <row r="14" spans="2:22" ht="16.5" customHeight="1">
      <c r="B14" s="227" t="s">
        <v>7</v>
      </c>
      <c r="C14" s="228" t="e">
        <f t="shared" ref="C14:H14" si="5">+SUM(C10:C13)</f>
        <v>#REF!</v>
      </c>
      <c r="D14" s="228" t="e">
        <f t="shared" si="5"/>
        <v>#REF!</v>
      </c>
      <c r="E14" s="228" t="e">
        <f t="shared" si="5"/>
        <v>#REF!</v>
      </c>
      <c r="F14" s="228" t="e">
        <f t="shared" si="5"/>
        <v>#REF!</v>
      </c>
      <c r="G14" s="228" t="e">
        <f t="shared" si="5"/>
        <v>#REF!</v>
      </c>
      <c r="H14" s="228" t="e">
        <f t="shared" si="5"/>
        <v>#REF!</v>
      </c>
      <c r="I14" s="229" t="e">
        <f t="shared" si="0"/>
        <v>#REF!</v>
      </c>
      <c r="J14" s="230" t="e">
        <f t="shared" si="1"/>
        <v>#REF!</v>
      </c>
      <c r="K14" s="228" t="e">
        <f>+SUM(K10:K13)</f>
        <v>#REF!</v>
      </c>
      <c r="L14" s="228" t="e">
        <f>+SUM(L10:L13)</f>
        <v>#REF!</v>
      </c>
      <c r="N14" s="228" t="e">
        <f>+SUM(N10:N13)</f>
        <v>#REF!</v>
      </c>
      <c r="O14" s="228">
        <f>+SUM(O10:O13)</f>
        <v>-4888</v>
      </c>
      <c r="P14" s="230" t="e">
        <f t="shared" si="3"/>
        <v>#REF!</v>
      </c>
      <c r="Q14" s="232" t="e">
        <f t="shared" si="2"/>
        <v>#REF!</v>
      </c>
      <c r="R14" s="19"/>
    </row>
    <row r="15" spans="2:22" ht="16.5" customHeight="1">
      <c r="B15" s="67" t="s">
        <v>40</v>
      </c>
      <c r="C15" s="221" t="e">
        <f>#REF!</f>
        <v>#REF!</v>
      </c>
      <c r="D15" s="221" t="e">
        <f>#REF!</f>
        <v>#REF!</v>
      </c>
      <c r="E15" s="221" t="e">
        <f>#REF!</f>
        <v>#REF!</v>
      </c>
      <c r="F15" s="221" t="e">
        <f>#REF!</f>
        <v>#REF!</v>
      </c>
      <c r="G15" s="221" t="e">
        <f>#REF!</f>
        <v>#REF!</v>
      </c>
      <c r="H15" s="221" t="e">
        <f>#REF!</f>
        <v>#REF!</v>
      </c>
      <c r="I15" s="76" t="e">
        <f t="shared" si="0"/>
        <v>#REF!</v>
      </c>
      <c r="J15" s="231" t="e">
        <f t="shared" si="1"/>
        <v>#REF!</v>
      </c>
      <c r="K15" s="68" t="e">
        <f>#REF!</f>
        <v>#REF!</v>
      </c>
      <c r="L15" s="68" t="e">
        <f>#REF!</f>
        <v>#REF!</v>
      </c>
      <c r="N15" s="68" t="e">
        <f>SUM(C15:D15)</f>
        <v>#REF!</v>
      </c>
      <c r="O15" s="68">
        <v>-2913</v>
      </c>
      <c r="P15" s="142" t="e">
        <f t="shared" si="3"/>
        <v>#REF!</v>
      </c>
      <c r="Q15" s="75" t="e">
        <f t="shared" si="2"/>
        <v>#REF!</v>
      </c>
      <c r="R15" s="19"/>
    </row>
    <row r="16" spans="2:22" ht="16.5" customHeight="1">
      <c r="B16" s="67" t="s">
        <v>39</v>
      </c>
      <c r="C16" s="221" t="e">
        <f>#REF!</f>
        <v>#REF!</v>
      </c>
      <c r="D16" s="221" t="e">
        <f>#REF!</f>
        <v>#REF!</v>
      </c>
      <c r="E16" s="221" t="e">
        <f>#REF!</f>
        <v>#REF!</v>
      </c>
      <c r="F16" s="221" t="e">
        <f>#REF!</f>
        <v>#REF!</v>
      </c>
      <c r="G16" s="221" t="e">
        <f>#REF!</f>
        <v>#REF!</v>
      </c>
      <c r="H16" s="221" t="e">
        <f>#REF!</f>
        <v>#REF!</v>
      </c>
      <c r="I16" s="76" t="e">
        <f t="shared" si="0"/>
        <v>#REF!</v>
      </c>
      <c r="J16" s="231" t="e">
        <f t="shared" si="1"/>
        <v>#REF!</v>
      </c>
      <c r="K16" s="68" t="e">
        <f>#REF!</f>
        <v>#REF!</v>
      </c>
      <c r="L16" s="68" t="e">
        <f>#REF!</f>
        <v>#REF!</v>
      </c>
      <c r="N16" s="68" t="e">
        <f>SUM(C16:D16)</f>
        <v>#REF!</v>
      </c>
      <c r="O16" s="68">
        <v>-510</v>
      </c>
      <c r="P16" s="142" t="e">
        <f t="shared" si="3"/>
        <v>#REF!</v>
      </c>
      <c r="Q16" s="75" t="e">
        <f t="shared" si="2"/>
        <v>#REF!</v>
      </c>
      <c r="R16" s="19"/>
    </row>
    <row r="17" spans="2:22" ht="16.5" customHeight="1">
      <c r="B17" s="67" t="s">
        <v>155</v>
      </c>
      <c r="C17" s="221" t="e">
        <f>#REF!</f>
        <v>#REF!</v>
      </c>
      <c r="D17" s="221" t="e">
        <f>#REF!</f>
        <v>#REF!</v>
      </c>
      <c r="E17" s="221" t="e">
        <f>#REF!</f>
        <v>#REF!</v>
      </c>
      <c r="F17" s="221" t="e">
        <f>#REF!</f>
        <v>#REF!</v>
      </c>
      <c r="G17" s="221" t="e">
        <f>#REF!</f>
        <v>#REF!</v>
      </c>
      <c r="H17" s="221" t="e">
        <f>#REF!</f>
        <v>#REF!</v>
      </c>
      <c r="I17" s="76" t="e">
        <f t="shared" si="0"/>
        <v>#REF!</v>
      </c>
      <c r="J17" s="231" t="e">
        <f t="shared" si="1"/>
        <v>#REF!</v>
      </c>
      <c r="K17" s="68" t="e">
        <f>#REF!</f>
        <v>#REF!</v>
      </c>
      <c r="L17" s="68" t="e">
        <f>#REF!</f>
        <v>#REF!</v>
      </c>
      <c r="N17" s="68" t="e">
        <f>SUM(C17:D17)</f>
        <v>#REF!</v>
      </c>
      <c r="O17" s="68">
        <v>1379</v>
      </c>
      <c r="P17" s="142" t="e">
        <f t="shared" si="3"/>
        <v>#REF!</v>
      </c>
      <c r="Q17" s="75" t="e">
        <f t="shared" si="2"/>
        <v>#REF!</v>
      </c>
      <c r="R17" s="19"/>
    </row>
    <row r="18" spans="2:22" ht="16.5" customHeight="1">
      <c r="B18" s="227" t="s">
        <v>8</v>
      </c>
      <c r="C18" s="228" t="e">
        <f t="shared" ref="C18:H18" si="6">+SUM(C14:C17)</f>
        <v>#REF!</v>
      </c>
      <c r="D18" s="228" t="e">
        <f t="shared" si="6"/>
        <v>#REF!</v>
      </c>
      <c r="E18" s="228" t="e">
        <f t="shared" si="6"/>
        <v>#REF!</v>
      </c>
      <c r="F18" s="228" t="e">
        <f t="shared" si="6"/>
        <v>#REF!</v>
      </c>
      <c r="G18" s="228" t="e">
        <f t="shared" si="6"/>
        <v>#REF!</v>
      </c>
      <c r="H18" s="228" t="e">
        <f t="shared" si="6"/>
        <v>#REF!</v>
      </c>
      <c r="I18" s="229" t="e">
        <f t="shared" si="0"/>
        <v>#REF!</v>
      </c>
      <c r="J18" s="230" t="e">
        <f>H18-I18</f>
        <v>#REF!</v>
      </c>
      <c r="K18" s="230" t="e">
        <f>+SUM(K14:K17)</f>
        <v>#REF!</v>
      </c>
      <c r="L18" s="230" t="e">
        <f>#REF!</f>
        <v>#REF!</v>
      </c>
      <c r="N18" s="230" t="e">
        <f>+SUM(N14:N17)</f>
        <v>#REF!</v>
      </c>
      <c r="O18" s="230">
        <f>+SUM(O14:O17)</f>
        <v>-6932</v>
      </c>
      <c r="P18" s="230" t="e">
        <f t="shared" si="3"/>
        <v>#REF!</v>
      </c>
      <c r="Q18" s="232" t="e">
        <f t="shared" si="2"/>
        <v>#REF!</v>
      </c>
      <c r="R18" s="33"/>
      <c r="T18" s="33"/>
      <c r="U18" s="18"/>
    </row>
    <row r="19" spans="2:22" ht="13.5" customHeight="1">
      <c r="B19" s="71"/>
      <c r="C19" s="71"/>
      <c r="D19" s="71"/>
      <c r="E19" s="71"/>
      <c r="F19" s="168"/>
      <c r="G19" s="168"/>
      <c r="H19" s="168"/>
      <c r="I19" s="76"/>
      <c r="J19"/>
      <c r="K19" s="71"/>
      <c r="L19" s="71"/>
      <c r="Q19" s="19"/>
      <c r="R19" s="19"/>
    </row>
    <row r="20" spans="2:22" ht="16.5" customHeight="1">
      <c r="B20" s="72" t="s">
        <v>94</v>
      </c>
      <c r="C20" s="221" t="e">
        <f>+#REF!</f>
        <v>#REF!</v>
      </c>
      <c r="D20" s="221" t="e">
        <f>+#REF!</f>
        <v>#REF!</v>
      </c>
      <c r="E20" s="72"/>
      <c r="F20" s="223">
        <v>3557</v>
      </c>
      <c r="G20" s="223">
        <v>4440</v>
      </c>
      <c r="H20" s="223">
        <v>1697</v>
      </c>
      <c r="I20" s="169">
        <f>G20/H20-1</f>
        <v>1.6163818503241014</v>
      </c>
      <c r="J20" s="79">
        <f>H20-I20</f>
        <v>1695.3836181496758</v>
      </c>
      <c r="K20" s="73">
        <v>3124</v>
      </c>
      <c r="L20" s="73" t="e">
        <f>#REF!-SUM('P&amp;L_Q (2) old'!H20:K20)</f>
        <v>#REF!</v>
      </c>
      <c r="N20" s="73" t="e">
        <f>#REF!</f>
        <v>#REF!</v>
      </c>
      <c r="O20" s="73" t="e">
        <f>#REF!</f>
        <v>#REF!</v>
      </c>
      <c r="P20" s="143" t="e">
        <f t="shared" si="3"/>
        <v>#REF!</v>
      </c>
      <c r="Q20" s="139" t="e">
        <f>N20/O20-1</f>
        <v>#REF!</v>
      </c>
      <c r="R20" s="19"/>
    </row>
    <row r="21" spans="2:22" ht="16.5" customHeight="1">
      <c r="B21" s="74" t="s">
        <v>95</v>
      </c>
      <c r="C21" s="221" t="e">
        <f>+#REF!</f>
        <v>#REF!</v>
      </c>
      <c r="D21" s="221" t="e">
        <f>+#REF!</f>
        <v>#REF!</v>
      </c>
      <c r="E21" s="74"/>
      <c r="F21" s="221">
        <v>126</v>
      </c>
      <c r="G21" s="221">
        <v>62</v>
      </c>
      <c r="H21" s="221">
        <v>-288</v>
      </c>
      <c r="I21" s="169">
        <f>G21/H21-1</f>
        <v>-1.2152777777777777</v>
      </c>
      <c r="J21" s="142">
        <f>H21-I21</f>
        <v>-286.78472222222223</v>
      </c>
      <c r="K21" s="68">
        <v>164</v>
      </c>
      <c r="L21" s="68" t="e">
        <f>#REF!-SUM('P&amp;L_Q (2) old'!H21:K21)</f>
        <v>#REF!</v>
      </c>
      <c r="N21" s="68" t="e">
        <f>#REF!</f>
        <v>#REF!</v>
      </c>
      <c r="O21" s="68" t="e">
        <f>#REF!</f>
        <v>#REF!</v>
      </c>
      <c r="P21" s="142" t="e">
        <f t="shared" si="3"/>
        <v>#REF!</v>
      </c>
      <c r="Q21" s="75" t="e">
        <f>N21/O21-1</f>
        <v>#REF!</v>
      </c>
      <c r="R21" s="19"/>
    </row>
    <row r="22" spans="2:22" ht="13.5" customHeight="1">
      <c r="B22" s="27"/>
      <c r="C22" s="221"/>
      <c r="D22" s="27"/>
      <c r="E22" s="27"/>
      <c r="F22" s="27"/>
      <c r="G22" s="27"/>
      <c r="H22" s="27"/>
      <c r="I22" s="27"/>
      <c r="J22" s="27"/>
      <c r="K22" s="27"/>
      <c r="L22" s="27"/>
      <c r="Q22" s="19"/>
      <c r="R22" s="19"/>
      <c r="S22" s="19"/>
    </row>
    <row r="23" spans="2:22">
      <c r="B23" s="74"/>
      <c r="C23" s="74"/>
      <c r="D23" s="74"/>
      <c r="E23" s="74"/>
      <c r="F23" s="166"/>
      <c r="G23" s="166"/>
      <c r="H23" s="166"/>
      <c r="I23" s="167"/>
      <c r="J23" s="167"/>
      <c r="K23" s="167"/>
      <c r="L23" s="167"/>
      <c r="M23" s="167"/>
      <c r="N23" s="167"/>
      <c r="O23" s="167"/>
      <c r="P23" s="167"/>
      <c r="Q23" s="167"/>
      <c r="R23" s="19"/>
      <c r="S23" s="19"/>
      <c r="T23" s="19"/>
      <c r="U23" s="19"/>
      <c r="V23" s="19"/>
    </row>
    <row r="24" spans="2:22" ht="16.5" customHeight="1">
      <c r="B24" s="65" t="s">
        <v>22</v>
      </c>
      <c r="C24" s="65"/>
      <c r="D24" s="65"/>
      <c r="E24" s="65"/>
      <c r="F24" s="66" t="str">
        <f t="shared" ref="F24:G26" si="7">+N4</f>
        <v>6M 2014</v>
      </c>
      <c r="G24" s="66" t="str">
        <f t="shared" si="7"/>
        <v>6M 2013</v>
      </c>
      <c r="H24" s="66" t="str">
        <f>+Q4</f>
        <v>%</v>
      </c>
      <c r="I24" s="66" t="str">
        <f>+P4</f>
        <v>Diff</v>
      </c>
      <c r="J24" s="66"/>
      <c r="K24" s="166">
        <f>+R4</f>
        <v>0</v>
      </c>
      <c r="L24" s="166"/>
      <c r="O24" s="167"/>
      <c r="P24" s="167"/>
      <c r="Q24" s="167"/>
      <c r="R24" s="19"/>
      <c r="S24" s="19"/>
      <c r="T24" s="19"/>
      <c r="U24" s="19"/>
      <c r="V24" s="19"/>
    </row>
    <row r="25" spans="2:22" ht="16.5" customHeight="1">
      <c r="B25" s="67" t="s">
        <v>0</v>
      </c>
      <c r="C25" s="67"/>
      <c r="D25" s="67"/>
      <c r="E25" s="67"/>
      <c r="F25" s="221" t="e">
        <f t="shared" si="7"/>
        <v>#REF!</v>
      </c>
      <c r="G25" s="221">
        <f t="shared" si="7"/>
        <v>12667</v>
      </c>
      <c r="H25" s="76" t="e">
        <f>+Q5</f>
        <v>#REF!</v>
      </c>
      <c r="I25" s="142" t="e">
        <f>+P5</f>
        <v>#REF!</v>
      </c>
      <c r="J25" s="142"/>
      <c r="K25" s="166">
        <f>+R5</f>
        <v>0</v>
      </c>
      <c r="L25" s="166"/>
      <c r="O25" s="19"/>
      <c r="P25" s="161"/>
      <c r="Q25" s="19"/>
      <c r="R25" s="19"/>
      <c r="S25" s="19"/>
      <c r="T25" s="19"/>
      <c r="U25" s="19"/>
      <c r="V25" s="19"/>
    </row>
    <row r="26" spans="2:22" ht="16.5" customHeight="1">
      <c r="B26" s="69" t="s">
        <v>70</v>
      </c>
      <c r="C26" s="69"/>
      <c r="D26" s="69"/>
      <c r="E26" s="69"/>
      <c r="F26" s="221" t="e">
        <f t="shared" si="7"/>
        <v>#REF!</v>
      </c>
      <c r="G26" s="221">
        <f t="shared" si="7"/>
        <v>134</v>
      </c>
      <c r="H26" s="76" t="s">
        <v>110</v>
      </c>
      <c r="I26" s="142" t="e">
        <f>+P6</f>
        <v>#REF!</v>
      </c>
      <c r="J26" s="142"/>
      <c r="K26" s="166">
        <f>+R6</f>
        <v>0</v>
      </c>
      <c r="L26" s="166"/>
      <c r="O26" s="19"/>
      <c r="P26" s="161"/>
      <c r="Q26" s="19"/>
      <c r="R26" s="19"/>
      <c r="S26" s="19"/>
      <c r="T26" s="19"/>
      <c r="U26" s="19"/>
      <c r="V26" s="19"/>
    </row>
    <row r="27" spans="2:22" ht="16.5" hidden="1" customHeight="1" outlineLevel="1">
      <c r="B27" s="225" t="s">
        <v>71</v>
      </c>
      <c r="C27" s="225"/>
      <c r="D27" s="225"/>
      <c r="E27" s="225"/>
      <c r="F27" s="223" t="e">
        <f>+N13</f>
        <v>#REF!</v>
      </c>
      <c r="G27" s="223">
        <f>+O13</f>
        <v>0</v>
      </c>
      <c r="H27" s="76" t="e">
        <f>+Q13</f>
        <v>#REF!</v>
      </c>
      <c r="I27" s="142" t="e">
        <f>+P13</f>
        <v>#REF!</v>
      </c>
      <c r="J27" s="142"/>
      <c r="K27" s="166" t="e">
        <f>+#REF!</f>
        <v>#REF!</v>
      </c>
      <c r="L27" s="166"/>
      <c r="O27" s="19"/>
      <c r="P27" s="161"/>
      <c r="Q27" s="19"/>
      <c r="R27" s="19"/>
      <c r="S27" s="19"/>
      <c r="T27" s="19"/>
      <c r="U27" s="19"/>
      <c r="V27" s="19"/>
    </row>
    <row r="28" spans="2:22" ht="16.5" customHeight="1" collapsed="1">
      <c r="B28" s="67" t="s">
        <v>1</v>
      </c>
      <c r="C28" s="67"/>
      <c r="D28" s="67"/>
      <c r="E28" s="67"/>
      <c r="F28" s="221" t="e">
        <f t="shared" ref="F28:G33" si="8">+N7</f>
        <v>#REF!</v>
      </c>
      <c r="G28" s="221">
        <f t="shared" si="8"/>
        <v>5298</v>
      </c>
      <c r="H28" s="76" t="e">
        <f t="shared" ref="H28:H33" si="9">+Q7</f>
        <v>#REF!</v>
      </c>
      <c r="I28" s="142" t="e">
        <f t="shared" ref="I28:I33" si="10">+P7</f>
        <v>#REF!</v>
      </c>
      <c r="J28" s="142"/>
      <c r="K28" s="166">
        <f t="shared" ref="K28:K33" si="11">+R7</f>
        <v>0</v>
      </c>
      <c r="L28" s="166"/>
      <c r="O28" s="162"/>
      <c r="P28" s="161"/>
      <c r="Q28" s="19"/>
      <c r="R28" s="19"/>
      <c r="S28" s="19"/>
      <c r="T28" s="19"/>
      <c r="U28" s="19"/>
      <c r="V28" s="19"/>
    </row>
    <row r="29" spans="2:22" ht="16.5" customHeight="1">
      <c r="B29" s="67" t="s">
        <v>2</v>
      </c>
      <c r="C29" s="67"/>
      <c r="D29" s="67"/>
      <c r="E29" s="67"/>
      <c r="F29" s="221" t="e">
        <f t="shared" si="8"/>
        <v>#REF!</v>
      </c>
      <c r="G29" s="221">
        <f t="shared" si="8"/>
        <v>296</v>
      </c>
      <c r="H29" s="76" t="e">
        <f t="shared" si="9"/>
        <v>#REF!</v>
      </c>
      <c r="I29" s="142" t="e">
        <f t="shared" si="10"/>
        <v>#REF!</v>
      </c>
      <c r="J29" s="142"/>
      <c r="K29" s="166">
        <f t="shared" si="11"/>
        <v>0</v>
      </c>
      <c r="L29" s="166"/>
      <c r="O29" s="162"/>
      <c r="P29" s="161"/>
      <c r="Q29" s="19"/>
      <c r="R29" s="19"/>
      <c r="S29" s="19"/>
      <c r="T29" s="19"/>
      <c r="U29" s="19"/>
      <c r="V29" s="19"/>
    </row>
    <row r="30" spans="2:22" ht="16.5" customHeight="1">
      <c r="B30" s="67" t="s">
        <v>3</v>
      </c>
      <c r="C30" s="67"/>
      <c r="D30" s="67"/>
      <c r="E30" s="67"/>
      <c r="F30" s="221" t="e">
        <f t="shared" si="8"/>
        <v>#REF!</v>
      </c>
      <c r="G30" s="221">
        <f t="shared" si="8"/>
        <v>2425</v>
      </c>
      <c r="H30" s="76" t="e">
        <f t="shared" si="9"/>
        <v>#REF!</v>
      </c>
      <c r="I30" s="142" t="e">
        <f t="shared" si="10"/>
        <v>#REF!</v>
      </c>
      <c r="J30" s="142"/>
      <c r="K30" s="166">
        <f t="shared" si="11"/>
        <v>0</v>
      </c>
      <c r="L30" s="166"/>
      <c r="O30" s="19"/>
      <c r="P30" s="161"/>
      <c r="Q30" s="19"/>
      <c r="R30" s="19"/>
      <c r="S30" s="19"/>
      <c r="T30" s="19"/>
      <c r="U30" s="19"/>
      <c r="V30" s="19"/>
    </row>
    <row r="31" spans="2:22" ht="16.5" customHeight="1">
      <c r="B31" s="144" t="s">
        <v>4</v>
      </c>
      <c r="C31" s="144"/>
      <c r="D31" s="144"/>
      <c r="E31" s="144"/>
      <c r="F31" s="222" t="e">
        <f t="shared" si="8"/>
        <v>#REF!</v>
      </c>
      <c r="G31" s="222">
        <f t="shared" si="8"/>
        <v>8019</v>
      </c>
      <c r="H31" s="148" t="e">
        <f t="shared" si="9"/>
        <v>#REF!</v>
      </c>
      <c r="I31" s="145" t="e">
        <f t="shared" si="10"/>
        <v>#REF!</v>
      </c>
      <c r="J31" s="145"/>
      <c r="K31" s="166">
        <f t="shared" si="11"/>
        <v>0</v>
      </c>
      <c r="L31" s="166"/>
      <c r="O31" s="19"/>
      <c r="P31" s="161"/>
      <c r="Q31" s="19"/>
      <c r="R31" s="19"/>
      <c r="S31" s="19"/>
      <c r="T31" s="19"/>
      <c r="U31" s="19"/>
      <c r="V31" s="19"/>
    </row>
    <row r="32" spans="2:22" ht="16.5" customHeight="1">
      <c r="B32" s="67" t="s">
        <v>5</v>
      </c>
      <c r="C32" s="67"/>
      <c r="D32" s="67"/>
      <c r="E32" s="67"/>
      <c r="F32" s="221" t="e">
        <f t="shared" si="8"/>
        <v>#REF!</v>
      </c>
      <c r="G32" s="221">
        <f t="shared" si="8"/>
        <v>-6679</v>
      </c>
      <c r="H32" s="76" t="e">
        <f t="shared" si="9"/>
        <v>#REF!</v>
      </c>
      <c r="I32" s="142" t="e">
        <f t="shared" si="10"/>
        <v>#REF!</v>
      </c>
      <c r="J32" s="142"/>
      <c r="K32" s="166">
        <f t="shared" si="11"/>
        <v>0</v>
      </c>
      <c r="L32" s="166"/>
      <c r="O32" s="19"/>
      <c r="P32" s="161"/>
      <c r="Q32" s="19"/>
      <c r="R32" s="19"/>
      <c r="S32" s="19"/>
      <c r="T32" s="19"/>
      <c r="U32" s="19"/>
      <c r="V32" s="19"/>
    </row>
    <row r="33" spans="2:22" ht="16.5" customHeight="1">
      <c r="B33" s="67" t="s">
        <v>6</v>
      </c>
      <c r="C33" s="67"/>
      <c r="D33" s="67"/>
      <c r="E33" s="67"/>
      <c r="F33" s="221" t="e">
        <f t="shared" si="8"/>
        <v>#REF!</v>
      </c>
      <c r="G33" s="221">
        <f t="shared" si="8"/>
        <v>-6228</v>
      </c>
      <c r="H33" s="76" t="e">
        <f t="shared" si="9"/>
        <v>#REF!</v>
      </c>
      <c r="I33" s="142" t="e">
        <f t="shared" si="10"/>
        <v>#REF!</v>
      </c>
      <c r="J33" s="142"/>
      <c r="K33" s="166">
        <f t="shared" si="11"/>
        <v>0</v>
      </c>
      <c r="L33" s="166"/>
      <c r="O33" s="19"/>
      <c r="P33" s="161"/>
      <c r="Q33" s="26"/>
      <c r="R33" s="19"/>
      <c r="S33" s="19"/>
      <c r="T33" s="19"/>
      <c r="U33" s="19"/>
      <c r="V33" s="19"/>
    </row>
    <row r="34" spans="2:22" ht="16.5" customHeight="1">
      <c r="B34" s="144" t="s">
        <v>7</v>
      </c>
      <c r="C34" s="144"/>
      <c r="D34" s="144"/>
      <c r="E34" s="144"/>
      <c r="F34" s="222" t="e">
        <f t="shared" ref="F34:F40" si="12">+N14</f>
        <v>#REF!</v>
      </c>
      <c r="G34" s="222">
        <f t="shared" ref="G34:G40" si="13">+O14</f>
        <v>-4888</v>
      </c>
      <c r="H34" s="148" t="e">
        <f>+Q14</f>
        <v>#REF!</v>
      </c>
      <c r="I34" s="145" t="e">
        <f t="shared" ref="I34:I40" si="14">+P14</f>
        <v>#REF!</v>
      </c>
      <c r="J34" s="145"/>
      <c r="K34" s="166">
        <f t="shared" ref="K34:K40" si="15">+R14</f>
        <v>0</v>
      </c>
      <c r="L34" s="166"/>
      <c r="O34" s="19"/>
      <c r="P34" s="161"/>
      <c r="Q34" s="26"/>
      <c r="R34" s="19"/>
      <c r="S34" s="19"/>
      <c r="T34" s="19"/>
      <c r="U34" s="19"/>
      <c r="V34" s="19"/>
    </row>
    <row r="35" spans="2:22" ht="16.5" customHeight="1">
      <c r="B35" s="67" t="s">
        <v>40</v>
      </c>
      <c r="C35" s="67"/>
      <c r="D35" s="67"/>
      <c r="E35" s="67"/>
      <c r="F35" s="221" t="e">
        <f t="shared" si="12"/>
        <v>#REF!</v>
      </c>
      <c r="G35" s="221">
        <f t="shared" si="13"/>
        <v>-2913</v>
      </c>
      <c r="H35" s="76" t="e">
        <f>+Q15</f>
        <v>#REF!</v>
      </c>
      <c r="I35" s="142" t="e">
        <f t="shared" si="14"/>
        <v>#REF!</v>
      </c>
      <c r="J35" s="142"/>
      <c r="K35" s="166">
        <f t="shared" si="15"/>
        <v>0</v>
      </c>
      <c r="L35" s="166"/>
      <c r="O35" s="38"/>
      <c r="P35" s="161"/>
      <c r="Q35" s="28"/>
      <c r="R35" s="19"/>
      <c r="S35" s="19"/>
      <c r="T35" s="19"/>
      <c r="U35" s="19"/>
      <c r="V35" s="19"/>
    </row>
    <row r="36" spans="2:22" ht="16.5" customHeight="1">
      <c r="B36" s="67" t="s">
        <v>39</v>
      </c>
      <c r="C36" s="67"/>
      <c r="D36" s="67"/>
      <c r="E36" s="67"/>
      <c r="F36" s="221" t="e">
        <f t="shared" si="12"/>
        <v>#REF!</v>
      </c>
      <c r="G36" s="221">
        <f t="shared" si="13"/>
        <v>-510</v>
      </c>
      <c r="H36" s="76" t="e">
        <f>+Q16</f>
        <v>#REF!</v>
      </c>
      <c r="I36" s="142" t="e">
        <f t="shared" si="14"/>
        <v>#REF!</v>
      </c>
      <c r="J36" s="142"/>
      <c r="K36" s="166">
        <f t="shared" si="15"/>
        <v>0</v>
      </c>
      <c r="L36" s="166"/>
      <c r="O36" s="19"/>
      <c r="P36" s="161"/>
      <c r="Q36" s="163"/>
      <c r="R36" s="19"/>
      <c r="S36" s="19"/>
      <c r="T36" s="19"/>
      <c r="U36" s="19"/>
      <c r="V36" s="19"/>
    </row>
    <row r="37" spans="2:22" ht="16.5" customHeight="1">
      <c r="B37" s="67" t="s">
        <v>155</v>
      </c>
      <c r="C37" s="67"/>
      <c r="D37" s="67"/>
      <c r="E37" s="67"/>
      <c r="F37" s="221" t="e">
        <f t="shared" si="12"/>
        <v>#REF!</v>
      </c>
      <c r="G37" s="221">
        <f t="shared" si="13"/>
        <v>1379</v>
      </c>
      <c r="H37" s="224" t="s">
        <v>110</v>
      </c>
      <c r="I37" s="142" t="e">
        <f t="shared" si="14"/>
        <v>#REF!</v>
      </c>
      <c r="J37" s="142"/>
      <c r="K37" s="166">
        <f t="shared" si="15"/>
        <v>0</v>
      </c>
      <c r="L37" s="166"/>
      <c r="O37" s="19"/>
      <c r="P37" s="161"/>
      <c r="Q37" s="163"/>
      <c r="R37" s="19"/>
      <c r="S37" s="19"/>
      <c r="T37" s="19"/>
      <c r="U37" s="19"/>
      <c r="V37" s="19"/>
    </row>
    <row r="38" spans="2:22" ht="16.5" customHeight="1">
      <c r="B38" s="144" t="s">
        <v>8</v>
      </c>
      <c r="C38" s="144"/>
      <c r="D38" s="144"/>
      <c r="E38" s="144"/>
      <c r="F38" s="222" t="e">
        <f t="shared" si="12"/>
        <v>#REF!</v>
      </c>
      <c r="G38" s="222">
        <f t="shared" si="13"/>
        <v>-6932</v>
      </c>
      <c r="H38" s="148" t="e">
        <f>+Q18</f>
        <v>#REF!</v>
      </c>
      <c r="I38" s="145" t="e">
        <f t="shared" si="14"/>
        <v>#REF!</v>
      </c>
      <c r="J38" s="145"/>
      <c r="K38" s="166">
        <f t="shared" si="15"/>
        <v>0</v>
      </c>
      <c r="L38" s="166"/>
      <c r="O38" s="39"/>
      <c r="P38" s="161"/>
      <c r="Q38" s="164"/>
      <c r="R38" s="19"/>
      <c r="S38" s="19"/>
      <c r="T38" s="19"/>
      <c r="U38" s="19"/>
      <c r="V38" s="19"/>
    </row>
    <row r="39" spans="2:22" ht="16.5" customHeight="1">
      <c r="B39" s="71"/>
      <c r="C39" s="71"/>
      <c r="D39" s="71"/>
      <c r="E39" s="71"/>
      <c r="F39"/>
      <c r="H39" s="19"/>
      <c r="I39">
        <f t="shared" si="14"/>
        <v>0</v>
      </c>
      <c r="J39"/>
      <c r="K39" s="166">
        <f t="shared" si="15"/>
        <v>0</v>
      </c>
      <c r="L39" s="166"/>
      <c r="O39" s="19"/>
      <c r="P39" s="161"/>
      <c r="Q39" s="19"/>
      <c r="R39" s="19"/>
      <c r="S39" s="19"/>
      <c r="T39" s="19"/>
      <c r="U39" s="19"/>
      <c r="V39" s="19"/>
    </row>
    <row r="40" spans="2:22" ht="16.5" customHeight="1">
      <c r="B40" s="72" t="s">
        <v>94</v>
      </c>
      <c r="C40" s="72"/>
      <c r="D40" s="72"/>
      <c r="E40" s="72"/>
      <c r="F40" s="223" t="e">
        <f t="shared" si="12"/>
        <v>#REF!</v>
      </c>
      <c r="G40" s="223" t="e">
        <f t="shared" si="13"/>
        <v>#REF!</v>
      </c>
      <c r="H40" s="78" t="e">
        <f>+Q20</f>
        <v>#REF!</v>
      </c>
      <c r="I40" s="143" t="e">
        <f t="shared" si="14"/>
        <v>#REF!</v>
      </c>
      <c r="J40" s="143"/>
      <c r="K40" s="166">
        <f t="shared" si="15"/>
        <v>0</v>
      </c>
      <c r="L40" s="166"/>
      <c r="O40" s="19"/>
      <c r="P40" s="161"/>
      <c r="Q40" s="19"/>
      <c r="R40" s="19"/>
      <c r="S40" s="19"/>
      <c r="T40" s="19"/>
      <c r="U40" s="19"/>
      <c r="V40" s="19"/>
    </row>
    <row r="41" spans="2:22" ht="16.5" customHeight="1">
      <c r="B41" s="74" t="s">
        <v>95</v>
      </c>
      <c r="C41" s="74"/>
      <c r="D41" s="74"/>
      <c r="E41" s="74"/>
      <c r="F41" s="221" t="e">
        <f>+N21</f>
        <v>#REF!</v>
      </c>
      <c r="G41" s="221" t="e">
        <f>+O21</f>
        <v>#REF!</v>
      </c>
      <c r="H41" s="68" t="s">
        <v>110</v>
      </c>
      <c r="I41" s="75"/>
      <c r="J41" s="75"/>
      <c r="K41" s="26"/>
      <c r="L41" s="26"/>
      <c r="M41" s="75"/>
      <c r="N41" s="161"/>
      <c r="O41" s="26"/>
      <c r="P41" s="161"/>
      <c r="Q41" s="19"/>
      <c r="R41" s="19"/>
      <c r="S41" s="19"/>
      <c r="T41" s="19"/>
      <c r="U41" s="19"/>
      <c r="V41" s="19"/>
    </row>
    <row r="42" spans="2:22" ht="13.5" customHeight="1">
      <c r="B42" s="19"/>
      <c r="C42" s="19"/>
      <c r="D42" s="19"/>
      <c r="E42" s="19"/>
      <c r="F42" s="19"/>
      <c r="G42" s="19"/>
      <c r="H42" s="26"/>
      <c r="I42" s="26"/>
      <c r="J42" s="26"/>
      <c r="K42" s="26"/>
      <c r="L42" s="26"/>
      <c r="M42" s="161"/>
      <c r="N42" s="161"/>
      <c r="O42" s="26"/>
      <c r="P42" s="161"/>
      <c r="Q42" s="19"/>
      <c r="R42" s="19"/>
      <c r="S42" s="19"/>
      <c r="T42" s="19"/>
      <c r="U42" s="19"/>
      <c r="V42" s="19"/>
    </row>
    <row r="43" spans="2:22" ht="13.5" customHeight="1">
      <c r="B43" s="19"/>
      <c r="C43" s="19"/>
      <c r="D43" s="19"/>
      <c r="E43" s="19"/>
      <c r="F43" s="19"/>
      <c r="G43" s="19"/>
      <c r="H43" s="26"/>
      <c r="I43" s="26"/>
      <c r="J43" s="26"/>
      <c r="K43" s="26"/>
      <c r="L43" s="26"/>
      <c r="M43" s="161"/>
      <c r="N43" s="161"/>
      <c r="O43" s="26"/>
      <c r="P43" s="161"/>
      <c r="Q43" s="19"/>
      <c r="R43" s="19"/>
      <c r="S43" s="19"/>
      <c r="T43" s="19"/>
      <c r="U43" s="19"/>
      <c r="V43" s="19"/>
    </row>
    <row r="44" spans="2:22" ht="13.5" customHeight="1">
      <c r="B44" s="19"/>
      <c r="C44" s="19"/>
      <c r="D44" s="19"/>
      <c r="E44" s="19"/>
      <c r="F44" s="19"/>
      <c r="G44" s="19"/>
      <c r="H44" s="30"/>
      <c r="I44" s="30"/>
      <c r="J44" s="30"/>
      <c r="K44" s="30"/>
      <c r="L44" s="30"/>
      <c r="M44" s="161"/>
      <c r="N44" s="161"/>
      <c r="O44" s="23"/>
      <c r="P44" s="161"/>
      <c r="Q44" s="23"/>
      <c r="R44" s="37"/>
      <c r="S44" s="19"/>
      <c r="T44" s="19"/>
      <c r="U44" s="19"/>
      <c r="V44" s="19"/>
    </row>
    <row r="45" spans="2:22" ht="13.5" customHeight="1">
      <c r="B45" s="19"/>
      <c r="C45" s="19"/>
      <c r="D45" s="19"/>
      <c r="E45" s="19"/>
      <c r="F45" s="19"/>
      <c r="G45" s="19"/>
      <c r="H45" s="31"/>
      <c r="I45" s="31"/>
      <c r="J45" s="31"/>
      <c r="K45" s="31"/>
      <c r="L45" s="31"/>
      <c r="M45" s="161"/>
      <c r="N45" s="161"/>
      <c r="O45" s="38"/>
      <c r="P45" s="161"/>
      <c r="Q45" s="38"/>
      <c r="R45" s="39"/>
      <c r="S45" s="19"/>
      <c r="T45" s="19"/>
      <c r="U45" s="19"/>
      <c r="V45" s="19"/>
    </row>
    <row r="46" spans="2:22" ht="13.5" customHeight="1">
      <c r="B46" s="19"/>
      <c r="C46" s="19"/>
      <c r="D46" s="19"/>
      <c r="E46" s="19"/>
      <c r="F46" s="19"/>
      <c r="G46" s="19"/>
      <c r="H46" s="31"/>
      <c r="I46" s="31"/>
      <c r="J46" s="31"/>
      <c r="K46" s="31"/>
      <c r="L46" s="31"/>
      <c r="M46" s="161"/>
      <c r="N46" s="161"/>
      <c r="O46" s="26"/>
      <c r="P46" s="161"/>
      <c r="Q46" s="38"/>
      <c r="R46" s="19"/>
      <c r="S46" s="19"/>
      <c r="T46" s="19"/>
      <c r="U46" s="19"/>
      <c r="V46" s="19"/>
    </row>
    <row r="47" spans="2:22" ht="13.5" customHeight="1">
      <c r="B47" s="19"/>
      <c r="C47" s="19"/>
      <c r="D47" s="19"/>
      <c r="E47" s="19"/>
      <c r="F47" s="19"/>
      <c r="G47" s="19"/>
      <c r="H47" s="30"/>
      <c r="I47" s="30"/>
      <c r="J47" s="30"/>
      <c r="K47" s="30"/>
      <c r="L47" s="30"/>
      <c r="M47" s="161"/>
      <c r="N47" s="161"/>
      <c r="O47" s="152"/>
      <c r="P47" s="161"/>
      <c r="Q47" s="19"/>
      <c r="R47" s="19"/>
      <c r="S47" s="19"/>
      <c r="T47" s="19"/>
      <c r="U47" s="19"/>
      <c r="V47" s="19"/>
    </row>
    <row r="48" spans="2:22" ht="13.5" customHeight="1">
      <c r="B48" s="19"/>
      <c r="C48" s="19"/>
      <c r="D48" s="19"/>
      <c r="E48" s="19"/>
      <c r="F48" s="19"/>
      <c r="G48" s="19"/>
      <c r="H48" s="30"/>
      <c r="I48" s="30"/>
      <c r="J48" s="30"/>
      <c r="K48" s="30"/>
      <c r="L48" s="30"/>
      <c r="M48" s="161"/>
      <c r="N48" s="161"/>
      <c r="O48" s="19"/>
      <c r="P48" s="161"/>
      <c r="Q48" s="19"/>
      <c r="R48" s="19"/>
      <c r="S48" s="19"/>
      <c r="T48" s="19"/>
      <c r="U48" s="19"/>
      <c r="V48" s="19"/>
    </row>
    <row r="49" spans="2:22" ht="13.5" customHeight="1">
      <c r="B49" s="19"/>
      <c r="C49" s="19"/>
      <c r="D49" s="19"/>
      <c r="E49" s="19"/>
      <c r="F49" s="19"/>
      <c r="G49" s="19"/>
      <c r="H49" s="19"/>
      <c r="I49" s="19"/>
      <c r="J49" s="19"/>
      <c r="K49" s="19"/>
      <c r="L49" s="19"/>
      <c r="M49" s="161"/>
      <c r="N49" s="161"/>
      <c r="O49" s="16"/>
      <c r="P49" s="161"/>
      <c r="Q49" s="19"/>
      <c r="R49" s="19"/>
      <c r="S49" s="19"/>
      <c r="T49" s="19"/>
      <c r="U49" s="19"/>
      <c r="V49" s="19"/>
    </row>
    <row r="50" spans="2:22">
      <c r="B50" s="19"/>
      <c r="C50" s="19"/>
      <c r="D50" s="19"/>
      <c r="E50" s="19"/>
      <c r="F50" s="19"/>
      <c r="G50" s="19"/>
      <c r="H50" s="19"/>
      <c r="I50" s="19"/>
      <c r="J50" s="19"/>
      <c r="K50" s="19"/>
      <c r="L50" s="19"/>
      <c r="M50" s="161"/>
      <c r="N50" s="161"/>
      <c r="O50" s="38"/>
      <c r="P50" s="161"/>
      <c r="Q50" s="19"/>
      <c r="R50" s="19"/>
      <c r="S50" s="19"/>
      <c r="T50" s="19"/>
      <c r="U50" s="19"/>
      <c r="V50" s="19"/>
    </row>
    <row r="51" spans="2:22">
      <c r="B51" s="19"/>
      <c r="C51" s="19"/>
      <c r="D51" s="19"/>
      <c r="E51" s="19"/>
      <c r="F51" s="19"/>
      <c r="G51" s="19"/>
      <c r="H51" s="19"/>
      <c r="I51" s="19"/>
      <c r="J51" s="19"/>
      <c r="K51" s="19"/>
      <c r="L51" s="19"/>
      <c r="M51" s="161"/>
      <c r="N51" s="161"/>
      <c r="O51" s="38"/>
      <c r="P51" s="161"/>
      <c r="Q51" s="19"/>
      <c r="R51" s="19"/>
      <c r="S51" s="19"/>
      <c r="T51" s="19"/>
      <c r="U51" s="19"/>
      <c r="V51" s="19"/>
    </row>
    <row r="52" spans="2:22">
      <c r="B52" s="19"/>
      <c r="C52" s="19"/>
      <c r="D52" s="19"/>
      <c r="E52" s="19"/>
      <c r="F52" s="19"/>
      <c r="G52" s="30"/>
      <c r="H52" s="30"/>
      <c r="I52" s="30"/>
      <c r="J52" s="30"/>
      <c r="K52" s="30"/>
      <c r="L52" s="30"/>
      <c r="M52" s="161"/>
      <c r="N52" s="161"/>
      <c r="O52" s="38"/>
      <c r="P52" s="161"/>
      <c r="Q52" s="26"/>
      <c r="R52" s="19"/>
      <c r="S52" s="19"/>
      <c r="T52" s="19"/>
      <c r="U52" s="19"/>
      <c r="V52" s="19"/>
    </row>
    <row r="53" spans="2:22">
      <c r="B53" s="19"/>
      <c r="C53" s="19"/>
      <c r="D53" s="19"/>
      <c r="E53" s="19"/>
      <c r="F53" s="19"/>
      <c r="G53" s="30"/>
      <c r="H53" s="30"/>
      <c r="I53" s="30"/>
      <c r="J53" s="30"/>
      <c r="K53" s="30"/>
      <c r="L53" s="30"/>
      <c r="M53" s="161"/>
      <c r="N53" s="161"/>
      <c r="O53" s="38"/>
      <c r="P53" s="161"/>
      <c r="Q53" s="19"/>
      <c r="R53" s="19"/>
      <c r="S53" s="19"/>
      <c r="T53" s="19"/>
      <c r="U53" s="19"/>
      <c r="V53" s="19"/>
    </row>
    <row r="54" spans="2:22">
      <c r="B54" s="19"/>
      <c r="C54" s="19"/>
      <c r="D54" s="19"/>
      <c r="E54" s="19"/>
      <c r="F54" s="19"/>
      <c r="G54" s="30"/>
      <c r="H54" s="30"/>
      <c r="I54" s="30"/>
      <c r="J54" s="30"/>
      <c r="K54" s="30"/>
      <c r="L54" s="30"/>
      <c r="M54" s="161"/>
      <c r="N54" s="161"/>
      <c r="O54" s="38"/>
      <c r="P54" s="161"/>
      <c r="Q54" s="19"/>
      <c r="R54" s="19"/>
      <c r="S54" s="19"/>
      <c r="T54" s="19"/>
      <c r="U54" s="19"/>
      <c r="V54" s="19"/>
    </row>
    <row r="55" spans="2:22">
      <c r="B55" s="19"/>
      <c r="C55" s="19"/>
      <c r="D55" s="19"/>
      <c r="E55" s="19"/>
      <c r="F55" s="19"/>
      <c r="G55" s="30"/>
      <c r="H55" s="30"/>
      <c r="I55" s="30"/>
      <c r="J55" s="30"/>
      <c r="K55" s="30"/>
      <c r="L55" s="30"/>
      <c r="M55" s="161"/>
      <c r="N55" s="161"/>
      <c r="O55" s="19"/>
      <c r="P55" s="161"/>
      <c r="Q55" s="19"/>
      <c r="R55" s="19"/>
      <c r="S55" s="19"/>
      <c r="T55" s="19"/>
      <c r="U55" s="19"/>
      <c r="V55" s="19"/>
    </row>
    <row r="56" spans="2:22">
      <c r="B56" s="19"/>
      <c r="C56" s="19"/>
      <c r="D56" s="19"/>
      <c r="E56" s="19"/>
      <c r="F56" s="19"/>
      <c r="G56" s="30"/>
      <c r="H56" s="30"/>
      <c r="I56" s="30"/>
      <c r="J56" s="30"/>
      <c r="K56" s="30"/>
      <c r="L56" s="30"/>
      <c r="M56" s="161"/>
      <c r="N56" s="161"/>
      <c r="O56" s="19"/>
      <c r="P56" s="161"/>
      <c r="Q56" s="19"/>
      <c r="R56" s="19"/>
      <c r="S56" s="19"/>
      <c r="T56" s="19"/>
      <c r="U56" s="19"/>
      <c r="V56" s="19"/>
    </row>
    <row r="57" spans="2:22">
      <c r="B57" s="19"/>
      <c r="C57" s="19"/>
      <c r="D57" s="19"/>
      <c r="E57" s="19"/>
      <c r="F57" s="19"/>
      <c r="G57" s="19"/>
      <c r="H57" s="19"/>
      <c r="I57" s="19"/>
      <c r="J57" s="19"/>
      <c r="K57" s="19"/>
      <c r="L57" s="19"/>
      <c r="M57" s="161"/>
      <c r="N57" s="161"/>
      <c r="O57" s="19"/>
      <c r="P57" s="161"/>
      <c r="Q57" s="19"/>
      <c r="R57" s="19"/>
      <c r="S57" s="19"/>
      <c r="T57" s="19"/>
      <c r="U57" s="19"/>
      <c r="V57" s="19"/>
    </row>
    <row r="58" spans="2:22">
      <c r="B58" s="19"/>
      <c r="C58" s="19"/>
      <c r="D58" s="19"/>
      <c r="E58" s="19"/>
      <c r="F58" s="19"/>
      <c r="G58" s="19"/>
      <c r="H58" s="19"/>
      <c r="I58" s="19"/>
      <c r="J58" s="19"/>
      <c r="K58" s="19"/>
      <c r="L58" s="19"/>
      <c r="M58" s="161"/>
      <c r="N58" s="161"/>
      <c r="O58" s="19"/>
      <c r="P58" s="161"/>
      <c r="Q58" s="19"/>
      <c r="R58" s="19"/>
      <c r="S58" s="19"/>
      <c r="T58" s="19"/>
      <c r="U58" s="19"/>
      <c r="V58" s="19"/>
    </row>
    <row r="59" spans="2:22">
      <c r="B59" s="19"/>
      <c r="C59" s="19"/>
      <c r="D59" s="19"/>
      <c r="E59" s="19"/>
      <c r="F59" s="19"/>
      <c r="G59" s="152"/>
      <c r="H59" s="152"/>
      <c r="I59" s="152"/>
      <c r="J59" s="152"/>
      <c r="K59" s="152"/>
      <c r="L59" s="19"/>
      <c r="M59" s="161"/>
      <c r="N59" s="161"/>
      <c r="O59" s="19"/>
      <c r="P59" s="161"/>
      <c r="Q59" s="19"/>
      <c r="R59" s="19"/>
      <c r="S59" s="19"/>
      <c r="T59" s="19"/>
      <c r="U59" s="19"/>
      <c r="V59" s="19"/>
    </row>
    <row r="60" spans="2:22" ht="12" customHeight="1">
      <c r="B60" s="19"/>
      <c r="C60" s="19"/>
      <c r="D60" s="19"/>
      <c r="E60" s="19"/>
      <c r="F60" s="19"/>
      <c r="G60" s="19"/>
      <c r="H60" s="19"/>
      <c r="I60" s="19"/>
      <c r="J60" s="19"/>
      <c r="K60" s="19"/>
      <c r="L60" s="19"/>
      <c r="M60" s="161"/>
      <c r="N60" s="161"/>
      <c r="O60" s="19"/>
      <c r="P60" s="161"/>
      <c r="Q60" s="19"/>
      <c r="R60" s="19"/>
      <c r="S60" s="19"/>
      <c r="T60" s="19"/>
      <c r="U60" s="19"/>
      <c r="V60" s="19"/>
    </row>
    <row r="61" spans="2:22" s="18" customFormat="1" ht="12" customHeight="1">
      <c r="B61" s="19"/>
      <c r="C61" s="19"/>
      <c r="D61" s="19"/>
      <c r="E61" s="19"/>
      <c r="F61" s="19"/>
      <c r="G61" s="19"/>
      <c r="H61" s="19"/>
      <c r="I61" s="19"/>
      <c r="J61" s="19"/>
      <c r="K61" s="37"/>
      <c r="L61" s="37"/>
      <c r="M61" s="161"/>
      <c r="N61" s="161"/>
      <c r="O61" s="19"/>
      <c r="P61" s="161"/>
      <c r="Q61" s="19"/>
      <c r="R61" s="19"/>
      <c r="S61" s="19"/>
      <c r="T61" s="19"/>
      <c r="U61" s="19"/>
      <c r="V61" s="19"/>
    </row>
    <row r="62" spans="2:22" s="18" customFormat="1" ht="12" customHeight="1">
      <c r="B62" s="32"/>
      <c r="C62" s="32"/>
      <c r="D62" s="32"/>
      <c r="E62" s="32"/>
      <c r="F62" s="32"/>
      <c r="G62" s="19"/>
      <c r="H62" s="19"/>
      <c r="I62" s="19"/>
      <c r="J62" s="19"/>
      <c r="K62" s="160"/>
      <c r="L62" s="153"/>
      <c r="M62" s="19"/>
      <c r="N62" s="19"/>
      <c r="O62" s="19"/>
      <c r="P62" s="19"/>
      <c r="Q62" s="19"/>
      <c r="R62" s="19"/>
      <c r="S62" s="19"/>
      <c r="T62" s="19"/>
      <c r="U62" s="19"/>
      <c r="V62" s="19"/>
    </row>
    <row r="63" spans="2:22" s="18" customFormat="1" ht="12" customHeight="1">
      <c r="B63" s="19"/>
      <c r="C63" s="19"/>
      <c r="D63" s="19"/>
      <c r="E63" s="19"/>
      <c r="F63" s="19"/>
      <c r="G63" s="19"/>
      <c r="H63" s="19"/>
      <c r="I63" s="19"/>
      <c r="J63" s="19"/>
      <c r="K63" s="19"/>
      <c r="L63" s="19"/>
      <c r="M63" s="19"/>
      <c r="N63" s="19"/>
      <c r="O63" s="19"/>
      <c r="P63" s="19"/>
      <c r="Q63" s="19"/>
      <c r="R63" s="19"/>
      <c r="S63" s="19"/>
      <c r="T63" s="19"/>
      <c r="U63" s="19"/>
      <c r="V63" s="19"/>
    </row>
    <row r="64" spans="2:22" s="18" customFormat="1" ht="12" customHeight="1">
      <c r="B64" s="19"/>
      <c r="C64" s="19"/>
      <c r="D64" s="19"/>
      <c r="E64" s="19"/>
      <c r="F64" s="19"/>
      <c r="G64" s="19"/>
      <c r="H64" s="19"/>
      <c r="I64" s="19"/>
      <c r="J64" s="19"/>
      <c r="K64" s="19"/>
      <c r="L64" s="19"/>
      <c r="M64" s="19"/>
      <c r="N64" s="19"/>
      <c r="O64" s="19"/>
      <c r="P64" s="19"/>
      <c r="Q64" s="19"/>
      <c r="R64" s="19"/>
      <c r="S64" s="19"/>
      <c r="T64" s="19"/>
      <c r="U64" s="19"/>
      <c r="V64" s="19"/>
    </row>
    <row r="65" spans="2:22" s="18" customFormat="1" ht="12" customHeight="1">
      <c r="B65" s="19"/>
      <c r="C65" s="19"/>
      <c r="D65" s="19"/>
      <c r="E65" s="19"/>
      <c r="F65" s="19"/>
      <c r="G65" s="19"/>
      <c r="H65" s="19"/>
      <c r="I65" s="19"/>
      <c r="J65" s="19"/>
      <c r="K65" s="19"/>
      <c r="L65" s="19"/>
      <c r="M65" s="19"/>
      <c r="N65" s="19"/>
      <c r="O65" s="19"/>
      <c r="P65" s="19"/>
      <c r="Q65" s="19"/>
      <c r="R65" s="19"/>
      <c r="S65" s="19"/>
      <c r="T65" s="19"/>
      <c r="U65" s="19"/>
      <c r="V65" s="19"/>
    </row>
    <row r="66" spans="2:22" s="18" customFormat="1" ht="12" customHeight="1">
      <c r="B66" s="158"/>
      <c r="C66" s="226"/>
      <c r="D66" s="226"/>
      <c r="E66" s="226"/>
      <c r="F66" s="170"/>
      <c r="G66" s="19"/>
      <c r="H66" s="19"/>
      <c r="I66" s="19"/>
      <c r="J66" s="19"/>
      <c r="K66" s="19"/>
      <c r="L66" s="19"/>
      <c r="M66" s="19"/>
      <c r="N66" s="19"/>
      <c r="O66" s="26"/>
      <c r="P66" s="19"/>
      <c r="Q66" s="26"/>
      <c r="R66" s="19"/>
      <c r="S66" s="19"/>
      <c r="T66" s="19"/>
      <c r="U66" s="19"/>
      <c r="V66" s="19"/>
    </row>
    <row r="67" spans="2:22" s="18" customFormat="1" ht="12" customHeight="1">
      <c r="B67" s="158"/>
      <c r="C67" s="226"/>
      <c r="D67" s="226"/>
      <c r="E67" s="226"/>
      <c r="F67" s="170"/>
      <c r="G67" s="19"/>
      <c r="H67" s="19"/>
      <c r="I67" s="19"/>
      <c r="J67" s="19"/>
      <c r="K67" s="19"/>
      <c r="L67" s="19"/>
      <c r="M67" s="19"/>
      <c r="N67" s="19"/>
      <c r="O67" s="26"/>
      <c r="P67" s="19"/>
      <c r="Q67" s="26"/>
      <c r="R67" s="19"/>
      <c r="S67" s="19"/>
      <c r="T67" s="19"/>
      <c r="U67" s="19"/>
      <c r="V67" s="19"/>
    </row>
    <row r="68" spans="2:22" s="19" customFormat="1" ht="12" customHeight="1">
      <c r="B68" s="158"/>
      <c r="C68" s="226"/>
      <c r="D68" s="226"/>
      <c r="E68" s="226"/>
      <c r="F68" s="170"/>
    </row>
    <row r="69" spans="2:22" s="18" customFormat="1" ht="12" customHeight="1">
      <c r="B69" s="36"/>
      <c r="C69" s="36"/>
      <c r="D69" s="36"/>
      <c r="E69" s="36"/>
      <c r="F69" s="36"/>
      <c r="G69" s="19"/>
      <c r="H69" s="19"/>
      <c r="I69" s="19"/>
      <c r="J69" s="19"/>
      <c r="K69" s="19"/>
      <c r="L69" s="19"/>
      <c r="M69" s="19"/>
      <c r="N69" s="19"/>
      <c r="O69" s="37"/>
      <c r="P69" s="19"/>
      <c r="Q69" s="37"/>
      <c r="R69" s="19"/>
      <c r="S69" s="19"/>
      <c r="T69" s="19"/>
      <c r="U69" s="19"/>
      <c r="V69" s="19"/>
    </row>
    <row r="70" spans="2:22" s="18" customFormat="1" ht="12" customHeight="1">
      <c r="B70" s="19"/>
      <c r="C70" s="19"/>
      <c r="D70" s="19"/>
      <c r="E70" s="19"/>
      <c r="F70" s="19"/>
      <c r="G70" s="19"/>
      <c r="H70" s="19"/>
      <c r="I70" s="19"/>
      <c r="J70" s="19"/>
      <c r="K70" s="19"/>
      <c r="L70" s="30"/>
      <c r="M70" s="19"/>
      <c r="N70" s="19"/>
      <c r="O70" s="26"/>
      <c r="P70" s="19"/>
      <c r="Q70" s="26"/>
      <c r="R70" s="19"/>
      <c r="S70" s="26"/>
      <c r="T70" s="26"/>
      <c r="U70" s="19"/>
      <c r="V70" s="19"/>
    </row>
    <row r="71" spans="2:22" s="18" customFormat="1" ht="12" customHeight="1">
      <c r="B71" s="19"/>
      <c r="C71" s="19"/>
      <c r="D71" s="19"/>
      <c r="E71" s="19"/>
      <c r="F71" s="19"/>
      <c r="G71" s="19"/>
      <c r="H71" s="19"/>
      <c r="I71" s="19"/>
      <c r="J71" s="19"/>
      <c r="K71" s="19"/>
      <c r="L71" s="30"/>
      <c r="M71" s="19"/>
      <c r="N71" s="19"/>
      <c r="O71" s="26"/>
      <c r="P71" s="19"/>
      <c r="Q71" s="38"/>
      <c r="R71" s="19"/>
      <c r="S71" s="19"/>
      <c r="T71" s="19"/>
      <c r="U71" s="19"/>
      <c r="V71" s="19"/>
    </row>
    <row r="72" spans="2:22" s="18" customFormat="1" ht="12" customHeight="1">
      <c r="B72" s="19"/>
      <c r="C72" s="19"/>
      <c r="D72" s="19"/>
      <c r="E72" s="19"/>
      <c r="F72" s="19"/>
      <c r="G72" s="19"/>
      <c r="H72" s="19"/>
      <c r="I72" s="19"/>
      <c r="J72" s="19"/>
      <c r="K72" s="19"/>
      <c r="L72" s="30"/>
      <c r="M72" s="19"/>
      <c r="N72" s="19"/>
      <c r="O72" s="26"/>
      <c r="P72" s="19"/>
      <c r="Q72" s="38"/>
      <c r="R72" s="19"/>
      <c r="S72" s="19"/>
      <c r="T72" s="19"/>
      <c r="U72" s="19"/>
      <c r="V72" s="19"/>
    </row>
    <row r="73" spans="2:22" s="18" customFormat="1" ht="12" customHeight="1">
      <c r="B73" s="19"/>
      <c r="C73" s="19"/>
      <c r="D73" s="19"/>
      <c r="E73" s="19"/>
      <c r="F73" s="19"/>
      <c r="G73" s="19"/>
      <c r="H73" s="19"/>
      <c r="I73" s="19"/>
      <c r="J73" s="19"/>
      <c r="K73" s="19"/>
      <c r="L73" s="30"/>
      <c r="M73" s="19"/>
      <c r="N73" s="19"/>
      <c r="O73" s="26"/>
      <c r="P73" s="19"/>
      <c r="Q73" s="38"/>
      <c r="R73" s="19"/>
      <c r="S73" s="19"/>
      <c r="T73" s="19"/>
      <c r="U73" s="19"/>
      <c r="V73" s="19"/>
    </row>
    <row r="74" spans="2:22" s="18" customFormat="1" ht="12" customHeight="1">
      <c r="B74" s="19"/>
      <c r="C74" s="19"/>
      <c r="D74" s="19"/>
      <c r="E74" s="19"/>
      <c r="F74" s="19"/>
      <c r="G74" s="19"/>
      <c r="H74" s="19"/>
      <c r="I74" s="19"/>
      <c r="J74" s="19"/>
      <c r="K74" s="19"/>
      <c r="L74" s="30"/>
      <c r="M74" s="19"/>
      <c r="N74" s="19"/>
      <c r="O74" s="26"/>
      <c r="P74" s="19"/>
      <c r="Q74" s="38"/>
      <c r="R74" s="19"/>
      <c r="S74" s="19"/>
      <c r="T74" s="19"/>
      <c r="U74" s="19"/>
      <c r="V74" s="19"/>
    </row>
    <row r="75" spans="2:22" s="18" customFormat="1" ht="12" customHeight="1">
      <c r="B75" s="19"/>
      <c r="C75" s="19"/>
      <c r="D75" s="19"/>
      <c r="E75" s="19"/>
      <c r="F75" s="19"/>
      <c r="G75" s="19"/>
      <c r="H75" s="19"/>
      <c r="I75" s="19"/>
      <c r="J75" s="19"/>
      <c r="K75" s="19"/>
      <c r="L75" s="30"/>
      <c r="M75" s="19"/>
      <c r="N75" s="19"/>
      <c r="O75" s="28"/>
      <c r="P75" s="19"/>
      <c r="Q75" s="39"/>
      <c r="R75" s="19"/>
      <c r="S75" s="19"/>
      <c r="T75" s="19"/>
      <c r="U75" s="19"/>
      <c r="V75" s="19"/>
    </row>
    <row r="76" spans="2:22" s="18" customFormat="1" ht="12" customHeight="1">
      <c r="B76" s="29"/>
      <c r="C76" s="29"/>
      <c r="D76" s="29"/>
      <c r="E76" s="29"/>
      <c r="F76" s="29"/>
      <c r="G76" s="19"/>
      <c r="H76" s="19"/>
      <c r="I76" s="19"/>
      <c r="J76" s="19"/>
      <c r="K76" s="19"/>
      <c r="L76" s="30"/>
      <c r="M76" s="19"/>
      <c r="N76" s="19"/>
      <c r="O76" s="19"/>
      <c r="P76" s="19"/>
      <c r="Q76" s="19"/>
      <c r="R76" s="19"/>
      <c r="S76" s="19"/>
      <c r="T76" s="19"/>
      <c r="U76" s="19"/>
      <c r="V76" s="19"/>
    </row>
    <row r="77" spans="2:22" s="18" customFormat="1" ht="12" customHeight="1">
      <c r="B77" s="19"/>
      <c r="C77" s="19"/>
      <c r="D77" s="19"/>
      <c r="E77" s="19"/>
      <c r="F77" s="19"/>
      <c r="G77" s="19"/>
      <c r="H77" s="19"/>
      <c r="I77" s="19"/>
      <c r="J77" s="19"/>
      <c r="K77" s="19"/>
      <c r="L77" s="19"/>
      <c r="M77" s="19"/>
      <c r="N77" s="19"/>
      <c r="O77" s="19"/>
      <c r="P77" s="19"/>
      <c r="Q77" s="19"/>
      <c r="R77" s="19"/>
      <c r="S77" s="19"/>
      <c r="T77" s="19"/>
      <c r="U77" s="19"/>
      <c r="V77" s="19"/>
    </row>
    <row r="78" spans="2:22" s="18" customFormat="1" ht="12" customHeight="1">
      <c r="B78" s="32"/>
      <c r="C78" s="32"/>
      <c r="D78" s="32"/>
      <c r="E78" s="32"/>
      <c r="F78" s="32"/>
      <c r="G78" s="26"/>
      <c r="H78" s="26"/>
      <c r="I78" s="26"/>
      <c r="J78" s="26"/>
      <c r="K78" s="160"/>
      <c r="L78" s="160"/>
      <c r="M78" s="19"/>
      <c r="N78" s="19"/>
      <c r="O78" s="19"/>
      <c r="P78" s="19"/>
      <c r="Q78" s="19"/>
      <c r="R78" s="19"/>
      <c r="S78" s="19"/>
      <c r="T78" s="19"/>
      <c r="U78" s="19"/>
      <c r="V78" s="19"/>
    </row>
    <row r="79" spans="2:22" s="18" customFormat="1" ht="12" customHeight="1">
      <c r="B79" s="29"/>
      <c r="C79" s="29"/>
      <c r="D79" s="29"/>
      <c r="E79" s="29"/>
      <c r="F79" s="29"/>
      <c r="G79" s="30"/>
      <c r="H79" s="30"/>
      <c r="I79" s="30"/>
      <c r="J79" s="30"/>
      <c r="K79" s="30"/>
      <c r="L79" s="19"/>
      <c r="M79" s="19"/>
      <c r="N79" s="19"/>
      <c r="O79" s="19"/>
      <c r="P79" s="19"/>
      <c r="Q79" s="19"/>
      <c r="R79" s="19"/>
      <c r="S79" s="19"/>
      <c r="T79" s="19"/>
      <c r="U79" s="19"/>
      <c r="V79" s="19"/>
    </row>
    <row r="80" spans="2:22" s="18" customFormat="1" ht="12" customHeight="1">
      <c r="B80" s="19"/>
      <c r="C80" s="19"/>
      <c r="D80" s="19"/>
      <c r="E80" s="19"/>
      <c r="F80" s="19"/>
      <c r="G80" s="19"/>
      <c r="H80" s="19"/>
      <c r="I80" s="19"/>
      <c r="J80" s="19"/>
      <c r="K80" s="19"/>
      <c r="L80" s="19"/>
      <c r="M80" s="19"/>
      <c r="N80" s="19"/>
      <c r="O80" s="19"/>
      <c r="P80" s="19"/>
      <c r="Q80" s="19"/>
      <c r="R80" s="19"/>
      <c r="S80" s="19"/>
      <c r="T80" s="19"/>
      <c r="U80" s="19"/>
      <c r="V80" s="19"/>
    </row>
    <row r="81" spans="2:22" s="18" customFormat="1" ht="12" customHeight="1">
      <c r="B81" s="19"/>
      <c r="C81" s="19"/>
      <c r="D81" s="19"/>
      <c r="E81" s="19"/>
      <c r="F81" s="19"/>
      <c r="G81" s="30"/>
      <c r="H81" s="30"/>
      <c r="I81" s="30"/>
      <c r="J81" s="30"/>
      <c r="K81" s="30"/>
      <c r="L81" s="19"/>
      <c r="M81" s="19"/>
      <c r="N81" s="19"/>
      <c r="O81" s="19"/>
      <c r="P81" s="19"/>
      <c r="Q81" s="19"/>
      <c r="R81" s="19"/>
      <c r="S81" s="19"/>
      <c r="T81" s="19"/>
      <c r="U81" s="19"/>
      <c r="V81" s="19"/>
    </row>
    <row r="82" spans="2:22" s="18" customFormat="1" ht="12" customHeight="1">
      <c r="B82" s="19"/>
      <c r="C82" s="19"/>
      <c r="D82" s="19"/>
      <c r="E82" s="19"/>
      <c r="F82" s="19"/>
      <c r="G82" s="159"/>
      <c r="H82" s="159"/>
      <c r="I82" s="159"/>
      <c r="J82" s="159"/>
      <c r="K82" s="159"/>
      <c r="L82" s="19"/>
      <c r="M82" s="19"/>
      <c r="N82" s="19"/>
      <c r="O82" s="19"/>
      <c r="P82" s="19"/>
      <c r="Q82" s="19"/>
      <c r="R82" s="19"/>
      <c r="S82" s="19"/>
      <c r="T82" s="19"/>
      <c r="U82" s="19"/>
      <c r="V82" s="19"/>
    </row>
    <row r="83" spans="2:22" s="18" customFormat="1" ht="12" customHeight="1">
      <c r="B83" s="19"/>
      <c r="C83" s="19"/>
      <c r="D83" s="19"/>
      <c r="E83" s="19"/>
      <c r="F83" s="19"/>
      <c r="G83" s="159"/>
      <c r="H83" s="159"/>
      <c r="I83" s="159"/>
      <c r="J83" s="159"/>
      <c r="K83" s="159"/>
      <c r="L83" s="19"/>
      <c r="M83" s="19"/>
      <c r="N83" s="19"/>
      <c r="O83" s="19"/>
      <c r="P83" s="19"/>
      <c r="Q83" s="19"/>
      <c r="R83" s="19"/>
      <c r="S83" s="19"/>
      <c r="T83" s="19"/>
      <c r="U83" s="19"/>
      <c r="V83" s="19"/>
    </row>
    <row r="84" spans="2:22" s="18" customFormat="1" ht="12" customHeight="1">
      <c r="B84" s="29"/>
      <c r="C84" s="29"/>
      <c r="D84" s="29"/>
      <c r="E84" s="29"/>
      <c r="F84" s="29"/>
      <c r="G84" s="30"/>
      <c r="H84" s="30"/>
      <c r="I84" s="30"/>
      <c r="J84" s="30"/>
      <c r="K84" s="30"/>
      <c r="L84" s="19"/>
      <c r="M84" s="19"/>
      <c r="N84" s="19"/>
      <c r="O84" s="19"/>
      <c r="P84" s="19"/>
      <c r="Q84" s="19"/>
      <c r="R84" s="19"/>
      <c r="S84" s="19"/>
      <c r="T84" s="19"/>
      <c r="U84" s="19"/>
      <c r="V84" s="19"/>
    </row>
    <row r="85" spans="2:22" s="18" customFormat="1" ht="12" customHeight="1">
      <c r="B85" s="27"/>
      <c r="C85" s="27"/>
      <c r="D85" s="27"/>
      <c r="E85" s="27"/>
      <c r="F85" s="27"/>
      <c r="G85" s="19"/>
      <c r="H85" s="19"/>
      <c r="I85" s="19"/>
      <c r="J85" s="19"/>
      <c r="K85" s="19"/>
      <c r="L85" s="19"/>
      <c r="M85" s="19"/>
      <c r="N85" s="19"/>
      <c r="O85" s="19"/>
      <c r="P85" s="19"/>
      <c r="Q85" s="19"/>
      <c r="R85" s="19"/>
      <c r="S85" s="19"/>
      <c r="T85" s="19"/>
      <c r="U85" s="19"/>
      <c r="V85" s="19"/>
    </row>
    <row r="86" spans="2:22" s="18" customFormat="1" ht="12" customHeight="1">
      <c r="B86" s="19"/>
      <c r="C86" s="19"/>
      <c r="D86" s="19"/>
      <c r="E86" s="19"/>
      <c r="F86" s="19"/>
      <c r="G86" s="19"/>
      <c r="H86" s="19"/>
      <c r="I86" s="19"/>
      <c r="J86" s="19"/>
      <c r="K86" s="19"/>
      <c r="L86" s="19"/>
      <c r="M86" s="19"/>
      <c r="N86" s="19"/>
      <c r="O86" s="19"/>
      <c r="P86" s="19"/>
      <c r="Q86" s="19"/>
      <c r="R86" s="19"/>
      <c r="S86" s="19"/>
      <c r="T86" s="19"/>
      <c r="U86" s="19"/>
      <c r="V86" s="19"/>
    </row>
    <row r="87" spans="2:22" s="18" customFormat="1" ht="12" customHeight="1">
      <c r="B87" s="158"/>
      <c r="C87" s="226"/>
      <c r="D87" s="226"/>
      <c r="E87" s="226"/>
      <c r="F87" s="170"/>
      <c r="G87" s="19"/>
      <c r="H87" s="19"/>
      <c r="I87" s="19"/>
      <c r="J87" s="19"/>
      <c r="K87" s="19"/>
      <c r="L87" s="19"/>
      <c r="M87" s="19"/>
      <c r="N87" s="19"/>
      <c r="O87" s="19"/>
      <c r="P87" s="19"/>
      <c r="Q87" s="19"/>
      <c r="R87" s="19"/>
      <c r="S87" s="19"/>
      <c r="T87" s="19"/>
      <c r="U87" s="19"/>
      <c r="V87" s="19"/>
    </row>
    <row r="88" spans="2:22" s="18" customFormat="1" ht="12" customHeight="1">
      <c r="B88" s="19"/>
      <c r="C88" s="19"/>
      <c r="D88" s="19"/>
      <c r="E88" s="19"/>
      <c r="F88" s="19"/>
      <c r="G88" s="19"/>
      <c r="H88" s="19"/>
      <c r="I88" s="19"/>
      <c r="J88" s="19"/>
      <c r="K88" s="19"/>
      <c r="L88" s="19"/>
      <c r="M88" s="19"/>
      <c r="N88" s="19"/>
      <c r="O88" s="19"/>
      <c r="P88" s="19"/>
      <c r="Q88" s="19"/>
      <c r="R88" s="19"/>
      <c r="S88" s="19"/>
      <c r="T88" s="19"/>
      <c r="U88" s="19"/>
      <c r="V88" s="19"/>
    </row>
    <row r="89" spans="2:22" s="18" customFormat="1" ht="12" customHeight="1">
      <c r="B89" s="19"/>
      <c r="C89" s="19"/>
      <c r="D89" s="19"/>
      <c r="E89" s="19"/>
      <c r="F89" s="19"/>
      <c r="G89" s="19"/>
      <c r="H89" s="19"/>
      <c r="I89" s="19"/>
      <c r="J89" s="19"/>
      <c r="K89" s="19"/>
      <c r="L89" s="19"/>
      <c r="M89" s="19"/>
      <c r="N89" s="19"/>
      <c r="O89" s="19"/>
      <c r="P89" s="19"/>
      <c r="Q89" s="19"/>
      <c r="R89" s="19"/>
      <c r="S89" s="19"/>
      <c r="T89" s="19"/>
      <c r="U89" s="19"/>
      <c r="V89" s="19"/>
    </row>
    <row r="90" spans="2:22" s="18" customFormat="1" ht="12" customHeight="1">
      <c r="B90" s="19"/>
      <c r="C90" s="19"/>
      <c r="D90" s="19"/>
      <c r="E90" s="19"/>
      <c r="F90" s="19"/>
      <c r="G90" s="19"/>
      <c r="H90" s="19"/>
      <c r="I90" s="19"/>
      <c r="J90" s="19"/>
      <c r="K90" s="19"/>
      <c r="L90" s="19"/>
      <c r="M90" s="19"/>
      <c r="N90" s="19"/>
      <c r="O90" s="19"/>
      <c r="P90" s="19"/>
      <c r="Q90" s="19"/>
      <c r="R90" s="19"/>
      <c r="S90" s="19"/>
      <c r="T90" s="19"/>
      <c r="U90" s="19"/>
      <c r="V90" s="19"/>
    </row>
    <row r="91" spans="2:22" s="18" customFormat="1" ht="12" customHeight="1">
      <c r="B91" s="19"/>
      <c r="C91" s="19"/>
      <c r="D91" s="19"/>
      <c r="E91" s="19"/>
      <c r="F91" s="19"/>
      <c r="G91" s="19"/>
      <c r="H91" s="19"/>
      <c r="I91" s="19"/>
      <c r="J91" s="19"/>
      <c r="K91" s="19"/>
      <c r="L91" s="19"/>
      <c r="M91" s="19"/>
      <c r="N91" s="19"/>
      <c r="O91" s="19"/>
      <c r="P91" s="19"/>
      <c r="Q91" s="19"/>
      <c r="R91" s="19"/>
      <c r="S91" s="19"/>
      <c r="T91" s="19"/>
      <c r="U91" s="19"/>
      <c r="V91" s="19"/>
    </row>
    <row r="92" spans="2:22" s="18" customFormat="1" ht="12" customHeight="1">
      <c r="B92" s="19"/>
      <c r="C92" s="19"/>
      <c r="D92" s="19"/>
      <c r="E92" s="19"/>
      <c r="F92" s="19"/>
      <c r="G92" s="19"/>
      <c r="H92" s="19"/>
      <c r="I92" s="19"/>
      <c r="J92" s="19"/>
      <c r="K92" s="19"/>
      <c r="L92" s="19"/>
      <c r="M92" s="19"/>
      <c r="N92" s="19"/>
      <c r="O92" s="19"/>
      <c r="P92" s="19"/>
      <c r="Q92" s="19"/>
      <c r="R92" s="19"/>
      <c r="S92" s="19"/>
      <c r="T92" s="19"/>
      <c r="U92" s="19"/>
      <c r="V92" s="19"/>
    </row>
    <row r="93" spans="2:22" s="18" customFormat="1" ht="12" customHeight="1">
      <c r="B93" s="19"/>
      <c r="C93" s="19"/>
      <c r="D93" s="19"/>
      <c r="E93" s="19"/>
      <c r="F93" s="19"/>
      <c r="G93" s="19"/>
      <c r="H93" s="19"/>
      <c r="I93" s="19"/>
      <c r="J93" s="19"/>
      <c r="K93" s="19"/>
      <c r="L93" s="19"/>
      <c r="M93" s="19"/>
      <c r="N93" s="19"/>
      <c r="O93" s="19"/>
      <c r="P93" s="19"/>
      <c r="Q93" s="19"/>
      <c r="R93" s="19"/>
      <c r="S93" s="19"/>
      <c r="T93" s="19"/>
      <c r="U93" s="19"/>
      <c r="V93" s="19"/>
    </row>
    <row r="94" spans="2:22" s="18" customFormat="1" ht="12" customHeight="1">
      <c r="B94" s="32"/>
      <c r="C94" s="32"/>
      <c r="D94" s="32"/>
      <c r="E94" s="32"/>
      <c r="F94" s="32"/>
      <c r="G94" s="19"/>
      <c r="H94" s="19"/>
      <c r="I94" s="19"/>
      <c r="J94" s="19"/>
      <c r="K94" s="160"/>
      <c r="L94" s="153"/>
      <c r="M94" s="19"/>
      <c r="N94" s="19"/>
      <c r="O94" s="19"/>
      <c r="P94" s="19"/>
      <c r="Q94" s="19"/>
      <c r="R94" s="19"/>
      <c r="S94" s="19"/>
      <c r="T94" s="19"/>
      <c r="U94" s="19"/>
      <c r="V94" s="19"/>
    </row>
    <row r="95" spans="2:22" s="18" customFormat="1" ht="12" customHeight="1">
      <c r="B95" s="19"/>
      <c r="C95" s="19"/>
      <c r="D95" s="19"/>
      <c r="E95" s="19"/>
      <c r="F95" s="19"/>
      <c r="G95" s="19"/>
      <c r="H95" s="19"/>
      <c r="I95" s="19"/>
      <c r="J95" s="19"/>
      <c r="K95" s="19"/>
      <c r="L95" s="19"/>
      <c r="M95" s="19"/>
      <c r="N95" s="19"/>
      <c r="O95" s="19"/>
      <c r="P95" s="19"/>
      <c r="Q95" s="19"/>
      <c r="R95" s="19"/>
      <c r="S95" s="19"/>
      <c r="T95" s="19"/>
      <c r="U95" s="19"/>
      <c r="V95" s="19"/>
    </row>
    <row r="96" spans="2:22" s="18" customFormat="1" ht="12" customHeight="1">
      <c r="B96" s="19"/>
      <c r="C96" s="19"/>
      <c r="D96" s="19"/>
      <c r="E96" s="19"/>
      <c r="F96" s="19"/>
      <c r="G96" s="19"/>
      <c r="H96" s="19"/>
      <c r="I96" s="19"/>
      <c r="J96" s="19"/>
      <c r="K96" s="19"/>
      <c r="L96" s="19"/>
      <c r="M96" s="19"/>
      <c r="N96" s="19"/>
      <c r="O96" s="19"/>
      <c r="P96" s="19"/>
      <c r="Q96" s="19"/>
      <c r="R96" s="19"/>
      <c r="S96" s="19"/>
      <c r="T96" s="19"/>
      <c r="U96" s="19"/>
      <c r="V96" s="19"/>
    </row>
    <row r="97" spans="2:22" s="18" customFormat="1" ht="12" customHeight="1">
      <c r="B97" s="19"/>
      <c r="C97" s="19"/>
      <c r="D97" s="19"/>
      <c r="E97" s="19"/>
      <c r="F97" s="19"/>
      <c r="G97" s="19"/>
      <c r="H97" s="19"/>
      <c r="I97" s="19"/>
      <c r="J97" s="19"/>
      <c r="K97" s="19"/>
      <c r="L97" s="19"/>
      <c r="M97" s="19"/>
      <c r="N97" s="19"/>
      <c r="O97" s="19"/>
      <c r="P97" s="19"/>
      <c r="Q97" s="19"/>
      <c r="R97" s="19"/>
      <c r="S97" s="19"/>
      <c r="T97" s="19"/>
      <c r="U97" s="19"/>
      <c r="V97" s="19"/>
    </row>
    <row r="98" spans="2:22" s="18" customFormat="1" ht="12" customHeight="1">
      <c r="B98" s="19"/>
      <c r="C98" s="19"/>
      <c r="D98" s="19"/>
      <c r="E98" s="19"/>
      <c r="F98" s="19"/>
      <c r="G98" s="19"/>
      <c r="H98" s="19"/>
      <c r="I98" s="19"/>
      <c r="J98" s="19"/>
      <c r="K98" s="19"/>
      <c r="L98" s="19"/>
      <c r="M98" s="19"/>
      <c r="N98" s="19"/>
      <c r="O98" s="19"/>
      <c r="P98" s="19"/>
      <c r="Q98" s="19"/>
      <c r="R98" s="19"/>
      <c r="S98" s="19"/>
      <c r="T98" s="19"/>
      <c r="U98" s="19"/>
      <c r="V98" s="19"/>
    </row>
    <row r="99" spans="2:22" s="18" customFormat="1" ht="12" customHeight="1">
      <c r="B99" s="19"/>
      <c r="C99" s="19"/>
      <c r="D99" s="19"/>
      <c r="E99" s="19"/>
      <c r="F99" s="19"/>
      <c r="G99" s="19"/>
      <c r="H99" s="19"/>
      <c r="I99" s="19"/>
      <c r="J99" s="19"/>
      <c r="K99" s="19"/>
      <c r="L99" s="19"/>
      <c r="M99" s="19"/>
      <c r="N99" s="19"/>
      <c r="O99" s="19"/>
      <c r="P99" s="19"/>
      <c r="Q99" s="19"/>
      <c r="R99" s="19"/>
      <c r="S99" s="19"/>
      <c r="T99" s="19"/>
      <c r="U99" s="19"/>
      <c r="V99" s="19"/>
    </row>
    <row r="100" spans="2:22" s="18" customFormat="1" ht="12" customHeight="1">
      <c r="B100" s="19"/>
      <c r="C100" s="19"/>
      <c r="D100" s="19"/>
      <c r="E100" s="19"/>
      <c r="F100" s="19"/>
      <c r="G100" s="19"/>
      <c r="H100" s="19"/>
      <c r="I100" s="19"/>
      <c r="J100" s="19"/>
      <c r="K100" s="19"/>
      <c r="L100" s="19"/>
      <c r="M100" s="19"/>
      <c r="N100" s="19"/>
      <c r="O100" s="19"/>
      <c r="P100" s="19"/>
      <c r="Q100" s="19"/>
      <c r="R100" s="19"/>
      <c r="S100" s="19"/>
      <c r="T100" s="19"/>
      <c r="U100" s="19"/>
      <c r="V100" s="19"/>
    </row>
    <row r="101" spans="2:22" s="18" customFormat="1" ht="12" customHeight="1">
      <c r="B101" s="19"/>
      <c r="C101" s="19"/>
      <c r="D101" s="19"/>
      <c r="E101" s="19"/>
      <c r="F101" s="19"/>
      <c r="G101" s="19"/>
      <c r="H101" s="19"/>
      <c r="I101" s="19"/>
      <c r="J101" s="19"/>
      <c r="K101" s="19"/>
      <c r="L101" s="19"/>
      <c r="M101" s="19"/>
      <c r="N101" s="19"/>
      <c r="O101" s="19"/>
      <c r="P101" s="19"/>
      <c r="Q101" s="19"/>
      <c r="R101" s="19"/>
      <c r="S101" s="19"/>
      <c r="T101" s="19"/>
      <c r="U101" s="19"/>
      <c r="V101" s="19"/>
    </row>
    <row r="102" spans="2:22" s="18" customFormat="1" ht="12" customHeight="1">
      <c r="B102" s="19"/>
      <c r="C102" s="19"/>
      <c r="D102" s="19"/>
      <c r="E102" s="19"/>
      <c r="F102" s="19"/>
      <c r="G102" s="19"/>
      <c r="H102" s="19"/>
      <c r="I102" s="19"/>
      <c r="J102" s="19"/>
      <c r="K102" s="19"/>
      <c r="L102" s="19"/>
      <c r="M102" s="19"/>
      <c r="N102" s="19"/>
      <c r="O102" s="19"/>
      <c r="P102" s="19"/>
      <c r="Q102" s="19"/>
      <c r="R102" s="19"/>
      <c r="S102" s="19"/>
      <c r="T102" s="19"/>
      <c r="U102" s="19"/>
      <c r="V102" s="19"/>
    </row>
    <row r="103" spans="2:22" s="18" customFormat="1" ht="12" customHeight="1">
      <c r="B103" s="19"/>
      <c r="C103" s="19"/>
      <c r="D103" s="19"/>
      <c r="E103" s="19"/>
      <c r="F103" s="19"/>
      <c r="G103" s="19"/>
      <c r="H103" s="19"/>
      <c r="I103" s="19"/>
      <c r="J103" s="19"/>
      <c r="K103" s="19"/>
      <c r="L103" s="19"/>
      <c r="M103" s="19"/>
      <c r="N103" s="19"/>
      <c r="O103" s="19"/>
      <c r="P103" s="19"/>
      <c r="Q103" s="19"/>
      <c r="R103" s="19"/>
      <c r="S103" s="19"/>
      <c r="T103" s="19"/>
      <c r="U103" s="19"/>
      <c r="V103" s="19"/>
    </row>
    <row r="104" spans="2:22" s="18" customFormat="1" ht="12" customHeight="1">
      <c r="B104" s="19"/>
      <c r="C104" s="19"/>
      <c r="D104" s="19"/>
      <c r="E104" s="19"/>
      <c r="F104" s="19"/>
      <c r="G104" s="19"/>
      <c r="H104" s="19"/>
      <c r="I104" s="19"/>
      <c r="J104" s="19"/>
      <c r="K104" s="19"/>
      <c r="L104" s="19"/>
      <c r="M104" s="19"/>
      <c r="N104" s="19"/>
      <c r="O104" s="19"/>
      <c r="P104" s="19"/>
      <c r="Q104" s="19"/>
      <c r="R104" s="19"/>
      <c r="S104" s="19"/>
      <c r="T104" s="19"/>
      <c r="U104" s="19"/>
      <c r="V104" s="19"/>
    </row>
    <row r="105" spans="2:22" s="18" customFormat="1" ht="12" customHeight="1">
      <c r="B105" s="19"/>
      <c r="C105" s="19"/>
      <c r="D105" s="19"/>
      <c r="E105" s="19"/>
      <c r="F105" s="19"/>
      <c r="G105" s="19"/>
      <c r="H105" s="19"/>
      <c r="I105" s="19"/>
      <c r="J105" s="19"/>
      <c r="K105" s="19"/>
      <c r="L105" s="19"/>
      <c r="M105" s="19"/>
      <c r="N105" s="19"/>
      <c r="O105" s="19"/>
      <c r="P105" s="19"/>
      <c r="Q105" s="19"/>
      <c r="R105" s="19"/>
      <c r="S105" s="19"/>
      <c r="T105" s="19"/>
      <c r="U105" s="19"/>
      <c r="V105" s="19"/>
    </row>
    <row r="106" spans="2:22" s="18" customFormat="1" ht="12" customHeight="1">
      <c r="B106" s="19"/>
      <c r="C106" s="19"/>
      <c r="D106" s="19"/>
      <c r="E106" s="19"/>
      <c r="F106" s="19"/>
      <c r="G106" s="19"/>
      <c r="H106" s="19"/>
      <c r="I106" s="19"/>
      <c r="J106" s="19"/>
      <c r="K106" s="19"/>
      <c r="L106" s="19"/>
      <c r="M106" s="19"/>
      <c r="N106" s="19"/>
      <c r="O106" s="19"/>
      <c r="P106" s="19"/>
      <c r="Q106" s="19"/>
      <c r="R106" s="19"/>
      <c r="S106" s="19"/>
      <c r="T106" s="19"/>
      <c r="U106" s="19"/>
      <c r="V106" s="19"/>
    </row>
    <row r="107" spans="2:22" s="18" customFormat="1" ht="12" customHeight="1">
      <c r="B107" s="19"/>
      <c r="C107" s="19"/>
      <c r="D107" s="19"/>
      <c r="E107" s="19"/>
      <c r="F107" s="19"/>
      <c r="G107" s="19"/>
      <c r="H107" s="19"/>
      <c r="I107" s="19"/>
      <c r="J107" s="19"/>
      <c r="K107" s="19"/>
      <c r="L107" s="19"/>
      <c r="M107" s="19"/>
      <c r="N107" s="19"/>
      <c r="O107" s="19"/>
      <c r="P107" s="19"/>
      <c r="Q107" s="19"/>
      <c r="R107" s="19"/>
      <c r="S107" s="19"/>
      <c r="T107" s="19"/>
      <c r="U107" s="19"/>
      <c r="V107" s="19"/>
    </row>
    <row r="108" spans="2:22" s="18" customFormat="1" ht="12" customHeight="1">
      <c r="B108" s="19"/>
      <c r="C108" s="19"/>
      <c r="D108" s="19"/>
      <c r="E108" s="19"/>
      <c r="F108" s="19"/>
      <c r="G108" s="19"/>
      <c r="H108" s="19"/>
      <c r="I108" s="19"/>
      <c r="J108" s="19"/>
      <c r="K108" s="19"/>
      <c r="L108" s="19"/>
      <c r="M108" s="19"/>
      <c r="N108" s="19"/>
      <c r="O108" s="19"/>
      <c r="P108" s="19"/>
      <c r="Q108" s="19"/>
      <c r="R108" s="19"/>
      <c r="S108" s="19"/>
      <c r="T108" s="19"/>
      <c r="U108" s="19"/>
      <c r="V108" s="19"/>
    </row>
    <row r="109" spans="2:22" s="18" customFormat="1" ht="12" customHeight="1">
      <c r="B109" s="19"/>
      <c r="C109" s="19"/>
      <c r="D109" s="19"/>
      <c r="E109" s="19"/>
      <c r="F109" s="19"/>
      <c r="G109" s="19"/>
      <c r="H109" s="19"/>
      <c r="I109" s="19"/>
      <c r="J109" s="19"/>
      <c r="K109" s="19"/>
      <c r="L109" s="19"/>
      <c r="M109" s="19"/>
      <c r="N109" s="19"/>
      <c r="O109" s="19"/>
      <c r="P109" s="19"/>
      <c r="Q109" s="19"/>
      <c r="R109" s="19"/>
      <c r="S109" s="19"/>
      <c r="T109" s="19"/>
      <c r="U109" s="19"/>
      <c r="V109" s="19"/>
    </row>
    <row r="110" spans="2:22" s="18" customFormat="1" ht="12" customHeight="1">
      <c r="B110" s="19"/>
      <c r="C110" s="19"/>
      <c r="D110" s="19"/>
      <c r="E110" s="19"/>
      <c r="F110" s="19"/>
      <c r="G110" s="19"/>
      <c r="H110" s="19"/>
      <c r="I110" s="19"/>
      <c r="J110" s="19"/>
      <c r="K110" s="19"/>
      <c r="L110" s="19"/>
      <c r="M110" s="19"/>
      <c r="N110" s="19"/>
      <c r="O110" s="19"/>
      <c r="P110" s="19"/>
      <c r="Q110" s="19"/>
      <c r="R110" s="19"/>
      <c r="S110" s="19"/>
      <c r="T110" s="19"/>
      <c r="U110" s="19"/>
      <c r="V110" s="19"/>
    </row>
    <row r="111" spans="2:22" s="18" customFormat="1" ht="12" customHeight="1">
      <c r="B111" s="19"/>
      <c r="C111" s="19"/>
      <c r="D111" s="19"/>
      <c r="E111" s="19"/>
      <c r="F111" s="19"/>
      <c r="G111" s="19"/>
      <c r="H111" s="19"/>
      <c r="I111" s="19"/>
      <c r="J111" s="19"/>
      <c r="K111" s="19"/>
      <c r="L111" s="19"/>
      <c r="M111" s="19"/>
      <c r="N111" s="19"/>
      <c r="O111" s="19"/>
      <c r="P111" s="19"/>
      <c r="Q111" s="19"/>
      <c r="R111" s="19"/>
      <c r="S111" s="19"/>
      <c r="T111" s="19"/>
      <c r="U111" s="19"/>
      <c r="V111" s="19"/>
    </row>
    <row r="112" spans="2:22" s="18" customFormat="1" ht="12" customHeight="1">
      <c r="B112" s="19"/>
      <c r="C112" s="19"/>
      <c r="D112" s="19"/>
      <c r="E112" s="19"/>
      <c r="F112" s="19"/>
      <c r="G112" s="19"/>
      <c r="H112" s="19"/>
      <c r="I112" s="19"/>
      <c r="J112" s="19"/>
      <c r="K112" s="19"/>
      <c r="L112" s="19"/>
      <c r="M112" s="19"/>
      <c r="N112" s="19"/>
      <c r="O112" s="19"/>
      <c r="P112" s="19"/>
      <c r="Q112" s="19"/>
      <c r="R112" s="19"/>
      <c r="S112" s="19"/>
      <c r="T112" s="19"/>
      <c r="U112" s="19"/>
      <c r="V112" s="19"/>
    </row>
    <row r="113" spans="2:22" s="18" customFormat="1" ht="12" customHeight="1">
      <c r="B113" s="32"/>
      <c r="C113" s="32"/>
      <c r="D113" s="32"/>
      <c r="E113" s="32"/>
      <c r="F113" s="32"/>
      <c r="G113" s="19"/>
      <c r="H113" s="19"/>
      <c r="I113" s="19"/>
      <c r="J113" s="19"/>
      <c r="K113" s="26"/>
      <c r="L113" s="26"/>
      <c r="M113" s="19"/>
      <c r="N113" s="19"/>
      <c r="O113" s="19"/>
      <c r="P113" s="19"/>
      <c r="Q113" s="19"/>
      <c r="R113" s="19"/>
      <c r="S113" s="19"/>
      <c r="T113" s="19"/>
      <c r="U113" s="19"/>
      <c r="V113" s="19"/>
    </row>
    <row r="114" spans="2:22" s="18" customFormat="1" ht="12" customHeight="1">
      <c r="B114" s="19"/>
      <c r="C114" s="19"/>
      <c r="D114" s="19"/>
      <c r="E114" s="19"/>
      <c r="F114" s="19"/>
      <c r="G114" s="19"/>
      <c r="H114" s="19"/>
      <c r="I114" s="19"/>
      <c r="J114" s="19"/>
      <c r="K114" s="19"/>
      <c r="L114" s="19"/>
      <c r="M114" s="19"/>
      <c r="N114" s="19"/>
      <c r="O114" s="19"/>
      <c r="P114" s="19"/>
      <c r="Q114" s="19"/>
      <c r="R114" s="19"/>
      <c r="S114" s="19"/>
      <c r="T114" s="19"/>
      <c r="U114" s="19"/>
      <c r="V114" s="19"/>
    </row>
    <row r="115" spans="2:22" s="18" customFormat="1" ht="12" customHeight="1">
      <c r="B115" s="19"/>
      <c r="C115" s="19"/>
      <c r="D115" s="19"/>
      <c r="E115" s="19"/>
      <c r="F115" s="19"/>
      <c r="G115" s="19"/>
      <c r="H115" s="19"/>
      <c r="I115" s="19"/>
      <c r="J115" s="19"/>
      <c r="K115" s="19"/>
      <c r="L115" s="19"/>
      <c r="M115" s="19"/>
      <c r="N115" s="19"/>
      <c r="O115" s="19"/>
      <c r="P115" s="19"/>
      <c r="Q115" s="19"/>
      <c r="R115" s="19"/>
      <c r="S115" s="19"/>
      <c r="T115" s="19"/>
      <c r="U115" s="19"/>
      <c r="V115" s="19"/>
    </row>
    <row r="116" spans="2:22" s="18" customFormat="1" ht="12">
      <c r="B116" s="19"/>
      <c r="C116" s="19"/>
      <c r="D116" s="19"/>
      <c r="E116" s="19"/>
      <c r="F116" s="19"/>
      <c r="G116" s="19"/>
      <c r="H116" s="19"/>
      <c r="I116" s="19"/>
      <c r="J116" s="19"/>
      <c r="K116" s="19"/>
      <c r="L116" s="19"/>
      <c r="M116" s="19"/>
      <c r="N116" s="19"/>
      <c r="O116" s="19"/>
      <c r="P116" s="19"/>
      <c r="Q116" s="19"/>
      <c r="R116" s="19"/>
      <c r="S116" s="19"/>
      <c r="T116" s="19"/>
      <c r="U116" s="19"/>
      <c r="V116" s="19"/>
    </row>
    <row r="117" spans="2:22" s="18" customFormat="1" ht="12">
      <c r="B117" s="19"/>
      <c r="C117" s="19"/>
      <c r="D117" s="19"/>
      <c r="E117" s="19"/>
      <c r="F117" s="19"/>
      <c r="G117" s="19"/>
      <c r="H117" s="19"/>
      <c r="I117" s="19"/>
      <c r="J117" s="19"/>
      <c r="K117" s="19"/>
      <c r="L117" s="19"/>
      <c r="M117" s="19"/>
      <c r="N117" s="19"/>
      <c r="O117" s="19"/>
      <c r="P117" s="19"/>
      <c r="Q117" s="19"/>
      <c r="R117" s="19"/>
      <c r="S117" s="19"/>
      <c r="T117" s="19"/>
      <c r="U117" s="19"/>
      <c r="V117" s="19"/>
    </row>
    <row r="118" spans="2:22" s="18" customFormat="1" ht="12">
      <c r="B118" s="19"/>
      <c r="C118" s="19"/>
      <c r="D118" s="19"/>
      <c r="E118" s="19"/>
      <c r="F118" s="19"/>
      <c r="G118" s="19"/>
      <c r="H118" s="19"/>
      <c r="I118" s="19"/>
      <c r="J118" s="19"/>
      <c r="K118" s="19"/>
      <c r="L118" s="19"/>
      <c r="M118" s="19"/>
      <c r="N118" s="19"/>
      <c r="O118" s="19"/>
      <c r="P118" s="19"/>
      <c r="Q118" s="19"/>
      <c r="R118" s="19"/>
      <c r="S118" s="19"/>
      <c r="T118" s="19"/>
      <c r="U118" s="19"/>
      <c r="V118" s="19"/>
    </row>
    <row r="119" spans="2:22" s="18" customFormat="1" ht="12">
      <c r="B119" s="19"/>
      <c r="C119" s="19"/>
      <c r="D119" s="19"/>
      <c r="E119" s="19"/>
      <c r="F119" s="19"/>
      <c r="G119" s="19"/>
      <c r="H119" s="19"/>
      <c r="I119" s="19"/>
      <c r="J119" s="19"/>
      <c r="K119" s="19"/>
      <c r="L119" s="19"/>
      <c r="M119" s="19"/>
      <c r="N119" s="19"/>
      <c r="O119" s="19"/>
      <c r="P119" s="19"/>
      <c r="Q119" s="19"/>
      <c r="R119" s="19"/>
      <c r="S119" s="19"/>
      <c r="T119" s="19"/>
      <c r="U119" s="19"/>
      <c r="V119" s="19"/>
    </row>
    <row r="120" spans="2:22" s="18" customFormat="1" ht="12">
      <c r="B120" s="19"/>
      <c r="C120" s="19"/>
      <c r="D120" s="19"/>
      <c r="E120" s="19"/>
      <c r="F120" s="19"/>
      <c r="G120" s="19"/>
      <c r="H120" s="19"/>
      <c r="I120" s="19"/>
      <c r="J120" s="19"/>
      <c r="K120" s="19"/>
      <c r="L120" s="19"/>
      <c r="M120" s="19"/>
      <c r="N120" s="19"/>
      <c r="O120" s="19"/>
      <c r="P120" s="19"/>
      <c r="Q120" s="19"/>
      <c r="R120" s="19"/>
      <c r="S120" s="19"/>
      <c r="T120" s="19"/>
      <c r="U120" s="19"/>
      <c r="V120" s="19"/>
    </row>
    <row r="121" spans="2:22" s="18" customFormat="1" ht="12">
      <c r="B121" s="19"/>
      <c r="C121" s="19"/>
      <c r="D121" s="19"/>
      <c r="E121" s="19"/>
      <c r="F121" s="19"/>
      <c r="G121" s="19"/>
      <c r="H121" s="19"/>
      <c r="I121" s="19"/>
      <c r="J121" s="19"/>
      <c r="K121" s="19"/>
      <c r="L121" s="19"/>
      <c r="M121" s="19"/>
      <c r="N121" s="19"/>
      <c r="O121" s="19"/>
      <c r="P121" s="19"/>
      <c r="Q121" s="19"/>
      <c r="R121" s="19"/>
      <c r="S121" s="19"/>
      <c r="T121" s="19"/>
      <c r="U121" s="19"/>
      <c r="V121" s="19"/>
    </row>
    <row r="122" spans="2:22" s="18" customFormat="1" ht="12">
      <c r="B122" s="19"/>
      <c r="C122" s="19"/>
      <c r="D122" s="19"/>
      <c r="E122" s="19"/>
      <c r="F122" s="19"/>
      <c r="G122" s="19"/>
      <c r="H122" s="19"/>
      <c r="I122" s="19"/>
      <c r="J122" s="19"/>
      <c r="K122" s="19"/>
      <c r="L122" s="19"/>
      <c r="M122" s="19"/>
      <c r="N122" s="19"/>
      <c r="O122" s="19"/>
      <c r="P122" s="19"/>
      <c r="Q122" s="19"/>
      <c r="R122" s="19"/>
      <c r="S122" s="19"/>
      <c r="T122" s="19"/>
      <c r="U122" s="19"/>
      <c r="V122" s="19"/>
    </row>
    <row r="123" spans="2:22" s="18" customFormat="1" ht="12">
      <c r="B123" s="19"/>
      <c r="C123" s="19"/>
      <c r="D123" s="19"/>
      <c r="E123" s="19"/>
      <c r="F123" s="19"/>
      <c r="G123" s="19"/>
      <c r="H123" s="19"/>
      <c r="I123" s="19"/>
      <c r="J123" s="19"/>
      <c r="K123" s="19"/>
      <c r="L123" s="19"/>
      <c r="M123" s="19"/>
      <c r="N123" s="19"/>
      <c r="O123" s="19"/>
      <c r="P123" s="19"/>
      <c r="Q123" s="19"/>
      <c r="R123" s="19"/>
      <c r="S123" s="19"/>
      <c r="T123" s="19"/>
      <c r="U123" s="19"/>
      <c r="V123" s="19"/>
    </row>
    <row r="124" spans="2:22" s="18" customFormat="1" ht="12">
      <c r="B124" s="19"/>
      <c r="C124" s="19"/>
      <c r="D124" s="19"/>
      <c r="E124" s="19"/>
      <c r="F124" s="19"/>
      <c r="G124" s="19"/>
      <c r="H124" s="19"/>
      <c r="I124" s="19"/>
      <c r="J124" s="19"/>
      <c r="K124" s="19"/>
      <c r="L124" s="19"/>
      <c r="M124" s="19"/>
      <c r="N124" s="19"/>
      <c r="O124" s="19"/>
      <c r="P124" s="19"/>
      <c r="Q124" s="19"/>
      <c r="R124" s="19"/>
      <c r="S124" s="19"/>
      <c r="T124" s="19"/>
      <c r="U124" s="19"/>
      <c r="V124" s="19"/>
    </row>
    <row r="125" spans="2:22" s="18" customFormat="1" ht="12">
      <c r="B125" s="19"/>
      <c r="C125" s="19"/>
      <c r="D125" s="19"/>
      <c r="E125" s="19"/>
      <c r="F125" s="19"/>
      <c r="G125" s="19"/>
      <c r="H125" s="19"/>
      <c r="I125" s="19"/>
      <c r="J125" s="19"/>
      <c r="K125" s="19"/>
      <c r="L125" s="19"/>
      <c r="M125" s="19"/>
      <c r="N125" s="19"/>
      <c r="O125" s="19"/>
      <c r="P125" s="19"/>
      <c r="Q125" s="19"/>
      <c r="R125" s="19"/>
      <c r="S125" s="19"/>
      <c r="T125" s="19"/>
      <c r="U125" s="19"/>
      <c r="V125" s="19"/>
    </row>
    <row r="126" spans="2:22" s="18" customFormat="1" ht="12">
      <c r="B126" s="19"/>
      <c r="C126" s="19"/>
      <c r="D126" s="19"/>
      <c r="E126" s="19"/>
      <c r="F126" s="19"/>
      <c r="G126" s="19"/>
      <c r="H126" s="19"/>
      <c r="I126" s="19"/>
      <c r="J126" s="19"/>
      <c r="K126" s="19"/>
      <c r="L126" s="19"/>
      <c r="M126" s="19"/>
      <c r="N126" s="19"/>
      <c r="O126" s="19"/>
      <c r="P126" s="19"/>
      <c r="Q126" s="19"/>
      <c r="R126" s="19"/>
      <c r="S126" s="19"/>
      <c r="T126" s="19"/>
      <c r="U126" s="19"/>
      <c r="V126" s="19"/>
    </row>
    <row r="127" spans="2:22" s="18" customFormat="1" ht="12">
      <c r="B127" s="19"/>
      <c r="C127" s="19"/>
      <c r="D127" s="19"/>
      <c r="E127" s="19"/>
      <c r="F127" s="19"/>
      <c r="G127" s="19"/>
      <c r="H127" s="19"/>
      <c r="I127" s="19"/>
      <c r="J127" s="19"/>
      <c r="K127" s="19"/>
      <c r="L127" s="19"/>
      <c r="M127" s="19"/>
      <c r="N127" s="19"/>
      <c r="O127" s="19"/>
      <c r="P127" s="19"/>
      <c r="Q127" s="19"/>
      <c r="R127" s="19"/>
      <c r="S127" s="19"/>
      <c r="T127" s="19"/>
      <c r="U127" s="19"/>
      <c r="V127" s="19"/>
    </row>
    <row r="128" spans="2:22" s="18" customFormat="1" ht="12">
      <c r="B128" s="19"/>
      <c r="C128" s="19"/>
      <c r="D128" s="19"/>
      <c r="E128" s="19"/>
      <c r="F128" s="19"/>
      <c r="G128" s="19"/>
      <c r="H128" s="19"/>
      <c r="I128" s="19"/>
      <c r="J128" s="19"/>
      <c r="K128" s="19"/>
      <c r="L128" s="19"/>
      <c r="M128" s="19"/>
      <c r="N128" s="19"/>
      <c r="O128" s="19"/>
      <c r="P128" s="19"/>
      <c r="Q128" s="19"/>
      <c r="R128" s="19"/>
      <c r="S128" s="19"/>
      <c r="T128" s="19"/>
      <c r="U128" s="19"/>
      <c r="V128" s="19"/>
    </row>
    <row r="129" spans="2:22" s="18" customFormat="1" ht="12">
      <c r="B129" s="32"/>
      <c r="C129" s="32"/>
      <c r="D129" s="32"/>
      <c r="E129" s="32"/>
      <c r="F129" s="32"/>
      <c r="G129" s="19"/>
      <c r="H129" s="19"/>
      <c r="I129" s="19"/>
      <c r="J129" s="19"/>
      <c r="K129" s="33"/>
      <c r="L129" s="33"/>
      <c r="M129" s="19"/>
      <c r="N129" s="19"/>
      <c r="O129" s="19"/>
      <c r="P129" s="19"/>
      <c r="Q129" s="19"/>
      <c r="R129" s="19"/>
      <c r="S129" s="19"/>
      <c r="T129" s="19"/>
      <c r="U129" s="19"/>
      <c r="V129" s="19"/>
    </row>
    <row r="130" spans="2:22" s="18" customFormat="1" ht="12">
      <c r="B130" s="19"/>
      <c r="C130" s="19"/>
      <c r="D130" s="19"/>
      <c r="E130" s="19"/>
      <c r="F130" s="19"/>
      <c r="G130" s="19"/>
      <c r="H130" s="19"/>
      <c r="I130" s="19"/>
      <c r="J130" s="19"/>
      <c r="K130" s="160"/>
      <c r="L130" s="160"/>
      <c r="M130" s="19"/>
      <c r="N130" s="19"/>
      <c r="O130" s="19"/>
      <c r="P130" s="19"/>
      <c r="Q130" s="19"/>
      <c r="R130" s="19"/>
      <c r="S130" s="19"/>
      <c r="T130" s="19"/>
      <c r="U130" s="19"/>
      <c r="V130" s="19"/>
    </row>
    <row r="131" spans="2:22" s="18" customFormat="1" ht="12">
      <c r="B131" s="19"/>
      <c r="C131" s="19"/>
      <c r="D131" s="19"/>
      <c r="E131" s="19"/>
      <c r="F131" s="19"/>
      <c r="G131" s="19"/>
      <c r="H131" s="19"/>
      <c r="I131" s="19"/>
      <c r="J131" s="19"/>
      <c r="K131" s="19"/>
      <c r="L131" s="19"/>
      <c r="M131" s="19"/>
      <c r="N131" s="19"/>
      <c r="O131" s="19"/>
      <c r="P131" s="19"/>
      <c r="Q131" s="19"/>
      <c r="R131" s="19"/>
      <c r="S131" s="19"/>
      <c r="T131" s="19"/>
      <c r="U131" s="19"/>
      <c r="V131" s="19"/>
    </row>
    <row r="132" spans="2:22" s="18" customFormat="1" ht="12">
      <c r="B132" s="19"/>
      <c r="C132" s="19"/>
      <c r="D132" s="19"/>
      <c r="E132" s="19"/>
      <c r="F132" s="19"/>
      <c r="G132" s="19"/>
      <c r="H132" s="19"/>
      <c r="I132" s="19"/>
      <c r="J132" s="19"/>
      <c r="K132" s="19"/>
      <c r="L132" s="19"/>
      <c r="M132" s="19"/>
      <c r="N132" s="19"/>
      <c r="O132" s="19"/>
      <c r="P132" s="19"/>
      <c r="Q132" s="19"/>
      <c r="R132" s="19"/>
      <c r="S132" s="19"/>
      <c r="T132" s="19"/>
      <c r="U132" s="19"/>
      <c r="V132" s="19"/>
    </row>
    <row r="133" spans="2:22" s="18" customFormat="1" ht="12">
      <c r="B133" s="19"/>
      <c r="C133" s="19"/>
      <c r="D133" s="19"/>
      <c r="E133" s="19"/>
      <c r="F133" s="19"/>
      <c r="G133" s="19"/>
      <c r="H133" s="19"/>
      <c r="I133" s="19"/>
      <c r="J133" s="19"/>
      <c r="K133" s="19"/>
      <c r="L133" s="19"/>
      <c r="M133" s="19"/>
      <c r="N133" s="19"/>
      <c r="O133" s="19"/>
      <c r="P133" s="19"/>
      <c r="Q133" s="19"/>
      <c r="R133" s="19"/>
      <c r="S133" s="19"/>
      <c r="T133" s="19"/>
      <c r="U133" s="19"/>
      <c r="V133" s="19"/>
    </row>
    <row r="134" spans="2:22" s="18" customFormat="1" ht="12">
      <c r="B134" s="19"/>
      <c r="C134" s="19"/>
      <c r="D134" s="19"/>
      <c r="E134" s="19"/>
      <c r="F134" s="19"/>
      <c r="G134" s="19"/>
      <c r="H134" s="19"/>
      <c r="I134" s="19"/>
      <c r="J134" s="19"/>
      <c r="K134" s="19"/>
      <c r="L134" s="19"/>
      <c r="M134" s="19"/>
      <c r="N134" s="19"/>
      <c r="O134" s="19"/>
      <c r="P134" s="19"/>
      <c r="Q134" s="19"/>
      <c r="R134" s="19"/>
      <c r="S134" s="19"/>
      <c r="T134" s="19"/>
      <c r="U134" s="19"/>
      <c r="V134" s="19"/>
    </row>
    <row r="135" spans="2:22" s="18" customFormat="1" ht="12">
      <c r="B135" s="19"/>
      <c r="C135" s="19"/>
      <c r="D135" s="19"/>
      <c r="E135" s="19"/>
      <c r="F135" s="19"/>
      <c r="G135" s="19"/>
      <c r="H135" s="19"/>
      <c r="I135" s="19"/>
      <c r="J135" s="19"/>
      <c r="K135" s="19"/>
      <c r="L135" s="19"/>
      <c r="M135" s="19"/>
      <c r="N135" s="19"/>
      <c r="O135" s="19"/>
      <c r="P135" s="19"/>
      <c r="Q135" s="19"/>
      <c r="R135" s="19"/>
      <c r="S135" s="19"/>
      <c r="T135" s="19"/>
      <c r="U135" s="19"/>
      <c r="V135" s="19"/>
    </row>
    <row r="136" spans="2:22" s="18" customFormat="1" ht="12">
      <c r="B136" s="19"/>
      <c r="C136" s="19"/>
      <c r="D136" s="19"/>
      <c r="E136" s="19"/>
      <c r="F136" s="19"/>
      <c r="G136" s="19"/>
      <c r="H136" s="19"/>
      <c r="I136" s="19"/>
      <c r="J136" s="19"/>
      <c r="K136" s="19"/>
      <c r="L136" s="19"/>
      <c r="M136" s="19"/>
      <c r="N136" s="19"/>
      <c r="O136" s="19"/>
      <c r="P136" s="19"/>
      <c r="Q136" s="19"/>
      <c r="R136" s="19"/>
      <c r="S136" s="19"/>
      <c r="T136" s="19"/>
      <c r="U136" s="19"/>
      <c r="V136" s="19"/>
    </row>
    <row r="137" spans="2:22" s="18" customFormat="1" ht="12">
      <c r="B137" s="19"/>
      <c r="C137" s="19"/>
      <c r="D137" s="19"/>
      <c r="E137" s="19"/>
      <c r="F137" s="19"/>
      <c r="G137" s="19"/>
      <c r="H137" s="19"/>
      <c r="I137" s="19"/>
      <c r="J137" s="19"/>
      <c r="K137" s="19"/>
      <c r="L137" s="19"/>
      <c r="M137" s="19"/>
      <c r="N137" s="19"/>
      <c r="O137" s="19"/>
      <c r="P137" s="19"/>
      <c r="Q137" s="19"/>
      <c r="R137" s="19"/>
      <c r="S137" s="19"/>
      <c r="T137" s="19"/>
      <c r="U137" s="19"/>
      <c r="V137" s="19"/>
    </row>
    <row r="138" spans="2:22" s="18" customFormat="1" ht="12">
      <c r="B138" s="19"/>
      <c r="C138" s="19"/>
      <c r="D138" s="19"/>
      <c r="E138" s="19"/>
      <c r="F138" s="19"/>
      <c r="G138" s="19"/>
      <c r="H138" s="19"/>
      <c r="I138" s="19"/>
      <c r="J138" s="19"/>
      <c r="K138" s="19"/>
      <c r="L138" s="19"/>
      <c r="M138" s="19"/>
      <c r="N138" s="19"/>
      <c r="O138" s="19"/>
      <c r="P138" s="19"/>
      <c r="Q138" s="19"/>
      <c r="R138" s="19"/>
      <c r="S138" s="19"/>
      <c r="T138" s="19"/>
      <c r="U138" s="19"/>
      <c r="V138" s="19"/>
    </row>
    <row r="139" spans="2:22" s="18" customFormat="1" ht="12">
      <c r="B139" s="19"/>
      <c r="C139" s="19"/>
      <c r="D139" s="19"/>
      <c r="E139" s="19"/>
      <c r="F139" s="19"/>
      <c r="G139" s="19"/>
      <c r="H139" s="19"/>
      <c r="I139" s="19"/>
      <c r="J139" s="19"/>
      <c r="K139" s="19"/>
      <c r="L139" s="19"/>
      <c r="M139" s="19"/>
      <c r="N139" s="19"/>
      <c r="O139" s="19"/>
      <c r="P139" s="19"/>
      <c r="Q139" s="19"/>
      <c r="R139" s="19"/>
      <c r="S139" s="19"/>
      <c r="T139" s="19"/>
      <c r="U139" s="19"/>
      <c r="V139" s="19"/>
    </row>
    <row r="140" spans="2:22" s="18" customFormat="1" ht="12">
      <c r="B140" s="19"/>
      <c r="C140" s="19"/>
      <c r="D140" s="19"/>
      <c r="E140" s="19"/>
      <c r="F140" s="19"/>
      <c r="G140" s="19"/>
      <c r="H140" s="19"/>
      <c r="I140" s="19"/>
      <c r="J140" s="19"/>
      <c r="K140" s="19"/>
      <c r="L140" s="19"/>
      <c r="M140" s="19"/>
      <c r="N140" s="19"/>
      <c r="O140" s="19"/>
      <c r="P140" s="19"/>
      <c r="Q140" s="19"/>
      <c r="R140" s="19"/>
      <c r="S140" s="19"/>
      <c r="T140" s="19"/>
      <c r="U140" s="19"/>
      <c r="V140" s="19"/>
    </row>
    <row r="141" spans="2:22" s="18" customFormat="1" ht="12">
      <c r="B141" s="19"/>
      <c r="C141" s="19"/>
      <c r="D141" s="19"/>
      <c r="E141" s="19"/>
      <c r="F141" s="19"/>
      <c r="G141" s="19"/>
      <c r="H141" s="19"/>
      <c r="I141" s="19"/>
      <c r="J141" s="19"/>
      <c r="K141" s="19"/>
      <c r="L141" s="19"/>
      <c r="M141" s="19"/>
      <c r="N141" s="19"/>
      <c r="O141" s="19"/>
      <c r="P141" s="19"/>
      <c r="Q141" s="19"/>
      <c r="R141" s="19"/>
      <c r="S141" s="19"/>
      <c r="T141" s="19"/>
      <c r="U141" s="19"/>
      <c r="V141" s="19"/>
    </row>
    <row r="142" spans="2:22" s="18" customFormat="1" ht="12">
      <c r="B142" s="19"/>
      <c r="C142" s="19"/>
      <c r="D142" s="19"/>
      <c r="E142" s="19"/>
      <c r="F142" s="19"/>
      <c r="G142" s="19"/>
      <c r="H142" s="19"/>
      <c r="I142" s="19"/>
      <c r="J142" s="19"/>
      <c r="K142" s="19"/>
      <c r="L142" s="19"/>
      <c r="M142" s="19"/>
      <c r="N142" s="19"/>
      <c r="O142" s="19"/>
      <c r="P142" s="19"/>
      <c r="Q142" s="19"/>
      <c r="R142" s="19"/>
      <c r="S142" s="19"/>
      <c r="T142" s="19"/>
      <c r="U142" s="19"/>
      <c r="V142" s="19"/>
    </row>
    <row r="143" spans="2:22" s="18" customFormat="1" ht="12">
      <c r="B143" s="19"/>
      <c r="C143" s="19"/>
      <c r="D143" s="19"/>
      <c r="E143" s="19"/>
      <c r="F143" s="19"/>
      <c r="G143" s="19"/>
      <c r="H143" s="19"/>
      <c r="I143" s="19"/>
      <c r="J143" s="19"/>
      <c r="K143" s="19"/>
      <c r="L143" s="19"/>
      <c r="M143" s="19"/>
      <c r="N143" s="19"/>
      <c r="O143" s="19"/>
      <c r="P143" s="19"/>
      <c r="Q143" s="19"/>
      <c r="R143" s="19"/>
      <c r="S143" s="19"/>
      <c r="T143" s="19"/>
      <c r="U143" s="19"/>
      <c r="V143" s="19"/>
    </row>
    <row r="144" spans="2:22" s="18" customFormat="1" ht="12">
      <c r="B144" s="19"/>
      <c r="C144" s="19"/>
      <c r="D144" s="19"/>
      <c r="E144" s="19"/>
      <c r="F144" s="19"/>
      <c r="G144" s="19"/>
      <c r="H144" s="19"/>
      <c r="I144" s="19"/>
      <c r="J144" s="19"/>
      <c r="K144" s="19"/>
      <c r="L144" s="19"/>
      <c r="M144" s="19"/>
      <c r="N144" s="19"/>
      <c r="O144" s="19"/>
      <c r="P144" s="19"/>
      <c r="Q144" s="19"/>
      <c r="R144" s="19"/>
      <c r="S144" s="19"/>
      <c r="T144" s="19"/>
      <c r="U144" s="19"/>
      <c r="V144" s="19"/>
    </row>
    <row r="145" spans="1:22">
      <c r="A145" s="18"/>
      <c r="B145" s="32"/>
      <c r="C145" s="32"/>
      <c r="D145" s="32"/>
      <c r="E145" s="32"/>
      <c r="F145" s="32"/>
      <c r="G145" s="19"/>
      <c r="H145" s="19"/>
      <c r="I145" s="19"/>
      <c r="J145" s="19"/>
      <c r="K145" s="153"/>
      <c r="L145" s="153"/>
      <c r="M145" s="161"/>
      <c r="N145" s="161"/>
      <c r="O145" s="19"/>
      <c r="P145" s="161"/>
      <c r="Q145" s="19"/>
      <c r="R145" s="19"/>
      <c r="S145" s="19"/>
      <c r="T145" s="19"/>
      <c r="U145" s="19"/>
      <c r="V145" s="19"/>
    </row>
    <row r="146" spans="1:22">
      <c r="A146" s="18"/>
      <c r="B146" s="19"/>
      <c r="C146" s="19"/>
      <c r="D146" s="19"/>
      <c r="E146" s="19"/>
      <c r="F146" s="19"/>
      <c r="G146" s="19"/>
      <c r="H146" s="19"/>
      <c r="I146" s="19"/>
      <c r="J146" s="19"/>
      <c r="K146" s="19"/>
      <c r="L146" s="19"/>
      <c r="M146" s="161"/>
      <c r="N146" s="161"/>
      <c r="O146" s="19"/>
      <c r="P146" s="161"/>
      <c r="Q146" s="19"/>
      <c r="R146" s="19"/>
      <c r="S146" s="19"/>
      <c r="T146" s="19"/>
      <c r="U146" s="19"/>
      <c r="V146" s="19"/>
    </row>
    <row r="147" spans="1:22">
      <c r="A147" s="18"/>
      <c r="B147" s="19"/>
      <c r="C147" s="19"/>
      <c r="D147" s="19"/>
      <c r="E147" s="19"/>
      <c r="F147" s="19"/>
      <c r="G147" s="19"/>
      <c r="H147" s="19"/>
      <c r="I147" s="19"/>
      <c r="J147" s="19"/>
      <c r="K147" s="19"/>
      <c r="L147" s="19"/>
      <c r="M147" s="161"/>
      <c r="N147" s="161"/>
      <c r="O147" s="19"/>
      <c r="P147" s="161"/>
      <c r="Q147" s="19"/>
      <c r="R147" s="19"/>
      <c r="S147" s="19"/>
      <c r="T147" s="19"/>
      <c r="U147" s="19"/>
      <c r="V147" s="19"/>
    </row>
    <row r="148" spans="1:22">
      <c r="A148" s="18"/>
      <c r="B148" s="19"/>
      <c r="C148" s="19"/>
      <c r="D148" s="19"/>
      <c r="E148" s="19"/>
      <c r="F148" s="19"/>
      <c r="G148" s="19"/>
      <c r="H148" s="19"/>
      <c r="I148" s="19"/>
      <c r="J148" s="19"/>
      <c r="K148" s="19"/>
      <c r="L148" s="19"/>
      <c r="M148" s="161"/>
      <c r="N148" s="161"/>
      <c r="O148" s="19"/>
      <c r="P148" s="161"/>
      <c r="Q148" s="19"/>
      <c r="R148" s="19"/>
      <c r="S148" s="19"/>
      <c r="T148" s="19"/>
      <c r="U148" s="19"/>
      <c r="V148" s="19"/>
    </row>
    <row r="149" spans="1:22">
      <c r="A149" s="18"/>
      <c r="B149" s="19"/>
      <c r="C149" s="19"/>
      <c r="D149" s="19"/>
      <c r="E149" s="19"/>
      <c r="F149" s="19"/>
      <c r="G149" s="19"/>
      <c r="H149" s="19"/>
      <c r="I149" s="19"/>
      <c r="J149" s="19"/>
      <c r="K149" s="19"/>
      <c r="L149" s="19"/>
      <c r="M149" s="161"/>
      <c r="N149" s="161"/>
      <c r="O149" s="19"/>
      <c r="P149" s="161"/>
      <c r="Q149" s="19"/>
      <c r="R149" s="19"/>
      <c r="S149" s="19"/>
      <c r="T149" s="19"/>
      <c r="U149" s="19"/>
      <c r="V149" s="19"/>
    </row>
    <row r="150" spans="1:22">
      <c r="A150" s="18"/>
      <c r="B150" s="19"/>
      <c r="C150" s="19"/>
      <c r="D150" s="19"/>
      <c r="E150" s="19"/>
      <c r="F150" s="19"/>
      <c r="G150" s="19"/>
      <c r="H150" s="19"/>
      <c r="I150" s="19"/>
      <c r="J150" s="19"/>
      <c r="K150" s="19"/>
      <c r="L150" s="19"/>
      <c r="M150" s="161"/>
      <c r="N150" s="161"/>
      <c r="O150" s="19"/>
      <c r="P150" s="161"/>
      <c r="Q150" s="19"/>
      <c r="R150" s="19"/>
      <c r="S150" s="19"/>
      <c r="T150" s="19"/>
      <c r="U150" s="19"/>
      <c r="V150" s="19"/>
    </row>
    <row r="151" spans="1:22">
      <c r="A151" s="18"/>
      <c r="B151" s="19"/>
      <c r="C151" s="19"/>
      <c r="D151" s="19"/>
      <c r="E151" s="19"/>
      <c r="F151" s="19"/>
      <c r="G151" s="19"/>
      <c r="H151" s="19"/>
      <c r="I151" s="19"/>
      <c r="J151" s="19"/>
      <c r="K151" s="19"/>
      <c r="L151" s="19"/>
      <c r="M151" s="161"/>
      <c r="N151" s="161"/>
      <c r="O151" s="19"/>
      <c r="P151" s="161"/>
      <c r="Q151" s="19"/>
      <c r="R151" s="19"/>
      <c r="S151" s="19"/>
      <c r="T151" s="19"/>
      <c r="U151" s="19"/>
      <c r="V151" s="19"/>
    </row>
    <row r="152" spans="1:22">
      <c r="A152" s="18"/>
      <c r="B152" s="19"/>
      <c r="C152" s="19"/>
      <c r="D152" s="19"/>
      <c r="E152" s="19"/>
      <c r="F152" s="19"/>
      <c r="G152" s="19"/>
      <c r="H152" s="19"/>
      <c r="I152" s="19"/>
      <c r="J152" s="19"/>
      <c r="K152" s="19"/>
      <c r="L152" s="19"/>
      <c r="M152" s="161"/>
      <c r="N152" s="161"/>
      <c r="O152" s="19"/>
      <c r="P152" s="161"/>
      <c r="Q152" s="19"/>
      <c r="R152" s="19"/>
      <c r="S152" s="19"/>
      <c r="T152" s="19"/>
      <c r="U152" s="19"/>
      <c r="V152" s="19"/>
    </row>
    <row r="153" spans="1:22">
      <c r="A153" s="18"/>
      <c r="B153" s="19"/>
      <c r="C153" s="19"/>
      <c r="D153" s="19"/>
      <c r="E153" s="19"/>
      <c r="F153" s="19"/>
      <c r="G153" s="19"/>
      <c r="H153" s="19"/>
      <c r="I153" s="19"/>
      <c r="J153" s="19"/>
      <c r="K153" s="19"/>
      <c r="L153" s="19"/>
      <c r="M153" s="161"/>
      <c r="N153" s="161"/>
      <c r="O153" s="19"/>
      <c r="P153" s="161"/>
      <c r="Q153" s="19"/>
      <c r="R153" s="19"/>
      <c r="S153" s="19"/>
      <c r="T153" s="19"/>
      <c r="U153" s="19"/>
      <c r="V153" s="19"/>
    </row>
    <row r="154" spans="1:22">
      <c r="A154" s="18"/>
      <c r="B154" s="19"/>
      <c r="C154" s="19"/>
      <c r="D154" s="19"/>
      <c r="E154" s="19"/>
      <c r="F154" s="19"/>
      <c r="G154" s="19"/>
      <c r="H154" s="19"/>
      <c r="I154" s="19"/>
      <c r="J154" s="19"/>
      <c r="K154" s="19"/>
      <c r="L154" s="19"/>
      <c r="M154" s="161"/>
      <c r="N154" s="161"/>
      <c r="O154" s="19"/>
      <c r="P154" s="161"/>
      <c r="Q154" s="19"/>
      <c r="R154" s="19"/>
      <c r="S154" s="19"/>
      <c r="T154" s="19"/>
      <c r="U154" s="19"/>
      <c r="V154" s="19"/>
    </row>
    <row r="155" spans="1:22">
      <c r="A155" s="18"/>
      <c r="B155" s="19"/>
      <c r="C155" s="19"/>
      <c r="D155" s="19"/>
      <c r="E155" s="19"/>
      <c r="F155" s="19"/>
      <c r="G155" s="19"/>
      <c r="H155" s="19"/>
      <c r="I155" s="19"/>
      <c r="J155" s="19"/>
      <c r="K155" s="19"/>
      <c r="L155" s="19"/>
      <c r="M155" s="161"/>
      <c r="N155" s="161"/>
      <c r="O155" s="19"/>
      <c r="P155" s="161"/>
      <c r="Q155" s="19"/>
      <c r="R155" s="19"/>
      <c r="S155" s="19"/>
      <c r="T155" s="19"/>
      <c r="U155" s="19"/>
      <c r="V155" s="19"/>
    </row>
    <row r="156" spans="1:22">
      <c r="A156" s="18"/>
      <c r="B156" s="19"/>
      <c r="C156" s="19"/>
      <c r="D156" s="19"/>
      <c r="E156" s="19"/>
      <c r="F156" s="19"/>
      <c r="G156" s="19"/>
      <c r="H156" s="19"/>
      <c r="I156" s="19"/>
      <c r="J156" s="19"/>
      <c r="K156" s="19"/>
      <c r="L156" s="19"/>
      <c r="M156" s="161"/>
      <c r="N156" s="161"/>
      <c r="O156" s="19"/>
      <c r="P156" s="161"/>
      <c r="Q156" s="19"/>
      <c r="R156" s="19"/>
      <c r="S156" s="19"/>
      <c r="T156" s="19"/>
      <c r="U156" s="19"/>
      <c r="V156" s="19"/>
    </row>
    <row r="157" spans="1:22">
      <c r="A157" s="18"/>
      <c r="B157" s="19"/>
      <c r="C157" s="19"/>
      <c r="D157" s="19"/>
      <c r="E157" s="19"/>
      <c r="F157" s="19"/>
      <c r="G157" s="19"/>
      <c r="H157" s="19"/>
      <c r="I157" s="19"/>
      <c r="J157" s="19"/>
      <c r="K157" s="19"/>
      <c r="L157" s="19"/>
      <c r="M157" s="161"/>
      <c r="N157" s="161"/>
      <c r="O157" s="19"/>
      <c r="P157" s="161"/>
      <c r="Q157" s="19"/>
      <c r="R157" s="19"/>
      <c r="S157" s="19"/>
      <c r="T157" s="19"/>
      <c r="U157" s="19"/>
      <c r="V157" s="19"/>
    </row>
    <row r="158" spans="1:22">
      <c r="A158" s="18"/>
      <c r="B158" s="19"/>
      <c r="C158" s="19"/>
      <c r="D158" s="19"/>
      <c r="E158" s="19"/>
      <c r="F158" s="19"/>
      <c r="G158" s="19"/>
      <c r="H158" s="19"/>
      <c r="I158" s="19"/>
      <c r="J158" s="19"/>
      <c r="K158" s="19"/>
      <c r="L158" s="19"/>
      <c r="M158" s="161"/>
      <c r="N158" s="161"/>
      <c r="O158" s="19"/>
      <c r="P158" s="161"/>
      <c r="Q158" s="19"/>
      <c r="R158" s="19"/>
      <c r="S158" s="19"/>
      <c r="T158" s="19"/>
      <c r="U158" s="19"/>
      <c r="V158" s="19"/>
    </row>
    <row r="159" spans="1:22">
      <c r="A159" s="18"/>
      <c r="B159" s="19"/>
      <c r="C159" s="19"/>
      <c r="D159" s="19"/>
      <c r="E159" s="19"/>
      <c r="F159" s="19"/>
      <c r="G159" s="19"/>
      <c r="H159" s="19"/>
      <c r="I159" s="19"/>
      <c r="J159" s="19"/>
      <c r="K159" s="19"/>
      <c r="L159" s="19"/>
      <c r="M159" s="161"/>
      <c r="N159" s="161"/>
      <c r="O159" s="19"/>
      <c r="P159" s="161"/>
      <c r="Q159" s="19"/>
      <c r="R159" s="19"/>
      <c r="S159" s="19"/>
      <c r="T159" s="19"/>
      <c r="U159" s="19"/>
      <c r="V159" s="19"/>
    </row>
    <row r="160" spans="1:22" s="18" customFormat="1" ht="12">
      <c r="B160" s="19"/>
      <c r="C160" s="19"/>
      <c r="D160" s="19"/>
      <c r="E160" s="19"/>
      <c r="F160" s="19"/>
      <c r="G160" s="19"/>
      <c r="H160" s="19"/>
      <c r="I160" s="19"/>
      <c r="J160" s="19"/>
      <c r="K160" s="19"/>
      <c r="L160" s="19"/>
      <c r="M160" s="19"/>
      <c r="N160" s="19"/>
      <c r="O160" s="19"/>
      <c r="P160" s="19"/>
      <c r="Q160" s="19"/>
      <c r="R160" s="19"/>
      <c r="S160" s="19"/>
      <c r="T160" s="19"/>
      <c r="U160" s="19"/>
      <c r="V160" s="19"/>
    </row>
    <row r="161" spans="1:22">
      <c r="A161" s="18"/>
      <c r="B161" s="32"/>
      <c r="C161" s="32"/>
      <c r="D161" s="32"/>
      <c r="E161" s="32"/>
      <c r="F161" s="32"/>
      <c r="G161" s="19"/>
      <c r="H161" s="19"/>
      <c r="I161" s="19"/>
      <c r="J161" s="19"/>
      <c r="K161" s="19"/>
      <c r="L161" s="19"/>
      <c r="M161" s="161"/>
      <c r="N161" s="161"/>
      <c r="O161" s="19"/>
      <c r="P161" s="161"/>
      <c r="Q161" s="19"/>
      <c r="R161" s="19"/>
      <c r="S161" s="19"/>
      <c r="T161" s="19"/>
      <c r="U161" s="19"/>
      <c r="V161" s="19"/>
    </row>
    <row r="162" spans="1:22">
      <c r="A162" s="18"/>
      <c r="B162" s="19"/>
      <c r="C162" s="19"/>
      <c r="D162" s="19"/>
      <c r="E162" s="19"/>
      <c r="F162" s="19"/>
      <c r="G162" s="19"/>
      <c r="H162" s="19"/>
      <c r="I162" s="19"/>
      <c r="J162" s="19"/>
      <c r="K162" s="153"/>
      <c r="L162" s="153"/>
      <c r="M162" s="161"/>
      <c r="N162" s="161"/>
      <c r="O162" s="19"/>
      <c r="P162" s="161"/>
      <c r="Q162" s="19"/>
      <c r="R162" s="19"/>
      <c r="S162" s="19"/>
      <c r="T162" s="19"/>
      <c r="U162" s="19"/>
      <c r="V162" s="19"/>
    </row>
    <row r="163" spans="1:22">
      <c r="A163" s="18"/>
      <c r="B163" s="19"/>
      <c r="C163" s="19"/>
      <c r="D163" s="19"/>
      <c r="E163" s="19"/>
      <c r="F163" s="19"/>
      <c r="G163" s="19"/>
      <c r="H163" s="19"/>
      <c r="I163" s="19"/>
      <c r="J163" s="19"/>
      <c r="K163" s="19"/>
      <c r="L163" s="19"/>
      <c r="M163" s="161"/>
      <c r="N163" s="161"/>
      <c r="O163" s="19"/>
      <c r="P163" s="161"/>
      <c r="Q163" s="19"/>
      <c r="R163" s="19"/>
      <c r="S163" s="19"/>
      <c r="T163" s="19"/>
      <c r="U163" s="19"/>
      <c r="V163" s="19"/>
    </row>
    <row r="164" spans="1:22">
      <c r="A164" s="18"/>
      <c r="B164" s="19"/>
      <c r="C164" s="19"/>
      <c r="D164" s="19"/>
      <c r="E164" s="19"/>
      <c r="F164" s="19"/>
      <c r="G164" s="19"/>
      <c r="H164" s="19"/>
      <c r="I164" s="19"/>
      <c r="J164" s="19"/>
      <c r="K164" s="19"/>
      <c r="L164" s="19"/>
      <c r="M164" s="161"/>
      <c r="N164" s="161"/>
      <c r="O164" s="19"/>
      <c r="P164" s="161"/>
      <c r="Q164" s="19"/>
      <c r="R164" s="19"/>
      <c r="S164" s="19"/>
      <c r="T164" s="19"/>
      <c r="U164" s="19"/>
      <c r="V164" s="19"/>
    </row>
    <row r="165" spans="1:22">
      <c r="A165" s="18"/>
      <c r="B165" s="19"/>
      <c r="C165" s="19"/>
      <c r="D165" s="19"/>
      <c r="E165" s="19"/>
      <c r="F165" s="19"/>
      <c r="G165" s="19"/>
      <c r="H165" s="19"/>
      <c r="I165" s="19"/>
      <c r="J165" s="19"/>
      <c r="K165" s="19"/>
      <c r="L165" s="19"/>
      <c r="M165" s="161"/>
      <c r="N165" s="161"/>
      <c r="O165" s="19"/>
      <c r="P165" s="161"/>
      <c r="Q165" s="19"/>
      <c r="R165" s="19"/>
      <c r="S165" s="19"/>
      <c r="T165" s="19"/>
      <c r="U165" s="19"/>
      <c r="V165" s="19"/>
    </row>
    <row r="166" spans="1:22">
      <c r="A166" s="18"/>
      <c r="B166" s="19"/>
      <c r="C166" s="19"/>
      <c r="D166" s="19"/>
      <c r="E166" s="19"/>
      <c r="F166" s="19"/>
      <c r="G166" s="19"/>
      <c r="H166" s="19"/>
      <c r="I166" s="19"/>
      <c r="J166" s="19"/>
      <c r="K166" s="19"/>
      <c r="L166" s="19"/>
      <c r="M166" s="161"/>
      <c r="N166" s="161"/>
      <c r="O166" s="19"/>
      <c r="P166" s="161"/>
      <c r="Q166" s="19"/>
      <c r="R166" s="19"/>
      <c r="S166" s="19"/>
      <c r="T166" s="19"/>
      <c r="U166" s="19"/>
      <c r="V166" s="19"/>
    </row>
    <row r="167" spans="1:22">
      <c r="A167" s="18"/>
      <c r="B167" s="19"/>
      <c r="C167" s="19"/>
      <c r="D167" s="19"/>
      <c r="E167" s="19"/>
      <c r="F167" s="19"/>
      <c r="G167" s="19"/>
      <c r="H167" s="19"/>
      <c r="I167" s="19"/>
      <c r="J167" s="19"/>
      <c r="K167" s="19"/>
      <c r="L167" s="19"/>
      <c r="M167" s="161"/>
      <c r="N167" s="161"/>
      <c r="O167" s="19"/>
      <c r="P167" s="161"/>
      <c r="Q167" s="19"/>
      <c r="R167" s="19"/>
      <c r="S167" s="19"/>
      <c r="T167" s="19"/>
      <c r="U167" s="19"/>
      <c r="V167" s="19"/>
    </row>
    <row r="168" spans="1:22">
      <c r="A168" s="18"/>
      <c r="B168" s="19"/>
      <c r="C168" s="19"/>
      <c r="D168" s="19"/>
      <c r="E168" s="19"/>
      <c r="F168" s="19"/>
      <c r="G168" s="19"/>
      <c r="H168" s="19"/>
      <c r="I168" s="19"/>
      <c r="J168" s="19"/>
      <c r="K168" s="19"/>
      <c r="L168" s="19"/>
      <c r="M168" s="161"/>
      <c r="N168" s="161"/>
      <c r="O168" s="19"/>
      <c r="P168" s="161"/>
      <c r="Q168" s="19"/>
      <c r="R168" s="19"/>
      <c r="S168" s="19"/>
      <c r="T168" s="19"/>
      <c r="U168" s="19"/>
      <c r="V168" s="19"/>
    </row>
    <row r="169" spans="1:22">
      <c r="A169" s="18"/>
      <c r="B169" s="19"/>
      <c r="C169" s="19"/>
      <c r="D169" s="19"/>
      <c r="E169" s="19"/>
      <c r="F169" s="19"/>
      <c r="G169" s="19"/>
      <c r="H169" s="19"/>
      <c r="I169" s="19"/>
      <c r="J169" s="19"/>
      <c r="K169" s="19"/>
      <c r="L169" s="19"/>
      <c r="M169" s="161"/>
      <c r="N169" s="161"/>
      <c r="O169" s="19"/>
      <c r="P169" s="161"/>
      <c r="Q169" s="19"/>
      <c r="R169" s="19"/>
      <c r="S169" s="19"/>
      <c r="T169" s="19"/>
      <c r="U169" s="19"/>
      <c r="V169" s="19"/>
    </row>
    <row r="170" spans="1:22">
      <c r="A170" s="18"/>
      <c r="B170" s="19"/>
      <c r="C170" s="19"/>
      <c r="D170" s="19"/>
      <c r="E170" s="19"/>
      <c r="F170" s="19"/>
      <c r="G170" s="19"/>
      <c r="H170" s="19"/>
      <c r="I170" s="19"/>
      <c r="J170" s="19"/>
      <c r="K170" s="19"/>
      <c r="L170" s="19"/>
      <c r="M170" s="161"/>
      <c r="N170" s="161"/>
      <c r="O170" s="19"/>
      <c r="P170" s="161"/>
      <c r="Q170" s="19"/>
      <c r="R170" s="19"/>
      <c r="S170" s="19"/>
      <c r="T170" s="19"/>
      <c r="U170" s="19"/>
      <c r="V170" s="19"/>
    </row>
    <row r="171" spans="1:22">
      <c r="A171" s="18"/>
      <c r="B171" s="19"/>
      <c r="C171" s="19"/>
      <c r="D171" s="19"/>
      <c r="E171" s="19"/>
      <c r="F171" s="19"/>
      <c r="G171" s="19"/>
      <c r="H171" s="19"/>
      <c r="I171" s="19"/>
      <c r="J171" s="19"/>
      <c r="K171" s="19"/>
      <c r="L171" s="19"/>
      <c r="M171" s="161"/>
      <c r="N171" s="161"/>
      <c r="O171" s="19"/>
      <c r="P171" s="161"/>
      <c r="Q171" s="19"/>
      <c r="R171" s="19"/>
      <c r="S171" s="19"/>
      <c r="T171" s="19"/>
      <c r="U171" s="19"/>
      <c r="V171" s="19"/>
    </row>
    <row r="172" spans="1:22">
      <c r="A172" s="18"/>
      <c r="B172" s="19"/>
      <c r="C172" s="19"/>
      <c r="D172" s="19"/>
      <c r="E172" s="19"/>
      <c r="F172" s="19"/>
      <c r="G172" s="19"/>
      <c r="H172" s="19"/>
      <c r="I172" s="19"/>
      <c r="J172" s="19"/>
      <c r="K172" s="19"/>
      <c r="L172" s="19"/>
      <c r="M172" s="161"/>
      <c r="N172" s="161"/>
      <c r="O172" s="19"/>
      <c r="P172" s="161"/>
      <c r="Q172" s="19"/>
      <c r="R172" s="19"/>
      <c r="S172" s="19"/>
      <c r="T172" s="19"/>
      <c r="U172" s="19"/>
      <c r="V172" s="19"/>
    </row>
    <row r="173" spans="1:22">
      <c r="A173" s="18"/>
      <c r="B173" s="19"/>
      <c r="C173" s="19"/>
      <c r="D173" s="19"/>
      <c r="E173" s="19"/>
      <c r="F173" s="19"/>
      <c r="G173" s="19"/>
      <c r="H173" s="19"/>
      <c r="I173" s="19"/>
      <c r="J173" s="19"/>
      <c r="K173" s="19"/>
      <c r="L173" s="19"/>
      <c r="M173" s="161"/>
      <c r="N173" s="161"/>
      <c r="O173" s="19"/>
      <c r="P173" s="161"/>
      <c r="Q173" s="19"/>
      <c r="R173" s="19"/>
      <c r="S173" s="19"/>
      <c r="T173" s="19"/>
      <c r="U173" s="19"/>
      <c r="V173" s="19"/>
    </row>
    <row r="174" spans="1:22">
      <c r="A174" s="18"/>
      <c r="B174" s="19"/>
      <c r="C174" s="19"/>
      <c r="D174" s="19"/>
      <c r="E174" s="19"/>
      <c r="F174" s="19"/>
      <c r="G174" s="19"/>
      <c r="H174" s="19"/>
      <c r="I174" s="19"/>
      <c r="J174" s="19"/>
      <c r="K174" s="19"/>
      <c r="L174" s="19"/>
      <c r="M174" s="161"/>
      <c r="N174" s="161"/>
      <c r="O174" s="19"/>
      <c r="P174" s="161"/>
      <c r="Q174" s="19"/>
      <c r="R174" s="19"/>
      <c r="S174" s="19"/>
      <c r="T174" s="19"/>
      <c r="U174" s="19"/>
      <c r="V174" s="19"/>
    </row>
    <row r="175" spans="1:22">
      <c r="A175" s="18"/>
      <c r="B175" s="19"/>
      <c r="C175" s="19"/>
      <c r="D175" s="19"/>
      <c r="E175" s="19"/>
      <c r="F175" s="19"/>
      <c r="G175" s="19"/>
      <c r="H175" s="19"/>
      <c r="I175" s="19"/>
      <c r="J175" s="19"/>
      <c r="K175" s="19"/>
      <c r="L175" s="19"/>
      <c r="M175" s="161"/>
      <c r="N175" s="161"/>
      <c r="O175" s="19"/>
      <c r="P175" s="161"/>
      <c r="Q175" s="19"/>
      <c r="R175" s="19"/>
      <c r="S175" s="19"/>
      <c r="T175" s="19"/>
      <c r="U175" s="19"/>
      <c r="V175" s="19"/>
    </row>
    <row r="176" spans="1:22" s="18" customFormat="1" ht="12">
      <c r="B176" s="19"/>
      <c r="C176" s="19"/>
      <c r="D176" s="19"/>
      <c r="E176" s="19"/>
      <c r="F176" s="19"/>
      <c r="G176" s="19"/>
      <c r="H176" s="19"/>
      <c r="I176" s="19"/>
      <c r="J176" s="19"/>
      <c r="K176" s="19"/>
      <c r="L176" s="19"/>
      <c r="M176" s="19"/>
      <c r="N176" s="19"/>
      <c r="O176" s="19"/>
      <c r="P176" s="19"/>
      <c r="Q176" s="19"/>
      <c r="R176" s="19"/>
      <c r="S176" s="19"/>
      <c r="T176" s="19"/>
      <c r="U176" s="19"/>
      <c r="V176" s="19"/>
    </row>
    <row r="177" spans="1:22">
      <c r="A177" s="18"/>
      <c r="B177" s="32"/>
      <c r="C177" s="32"/>
      <c r="D177" s="32"/>
      <c r="E177" s="32"/>
      <c r="F177" s="32"/>
      <c r="G177" s="19"/>
      <c r="H177" s="19"/>
      <c r="I177" s="19"/>
      <c r="J177" s="19"/>
      <c r="K177" s="19"/>
      <c r="L177" s="19"/>
      <c r="M177" s="161"/>
      <c r="N177" s="161"/>
      <c r="O177" s="19"/>
      <c r="P177" s="161"/>
      <c r="Q177" s="19"/>
      <c r="R177" s="19"/>
      <c r="S177" s="19"/>
      <c r="T177" s="19"/>
      <c r="U177" s="19"/>
      <c r="V177" s="19"/>
    </row>
    <row r="178" spans="1:22">
      <c r="A178" s="18"/>
      <c r="B178" s="19"/>
      <c r="C178" s="19"/>
      <c r="D178" s="19"/>
      <c r="E178" s="19"/>
      <c r="F178" s="19"/>
      <c r="G178" s="19"/>
      <c r="H178" s="19"/>
      <c r="I178" s="19"/>
      <c r="J178" s="19"/>
      <c r="K178" s="19"/>
      <c r="L178" s="19"/>
      <c r="M178" s="161"/>
      <c r="N178" s="161"/>
      <c r="O178" s="19"/>
      <c r="P178" s="161"/>
      <c r="Q178" s="19"/>
      <c r="R178" s="19"/>
      <c r="S178" s="19"/>
      <c r="T178" s="19"/>
      <c r="U178" s="19"/>
      <c r="V178" s="19"/>
    </row>
    <row r="179" spans="1:22">
      <c r="A179" s="18"/>
      <c r="B179" s="19"/>
      <c r="C179" s="19"/>
      <c r="D179" s="19"/>
      <c r="E179" s="19"/>
      <c r="F179" s="19"/>
      <c r="G179" s="19"/>
      <c r="H179" s="19"/>
      <c r="I179" s="19"/>
      <c r="J179" s="19"/>
      <c r="K179" s="19"/>
      <c r="L179" s="19"/>
      <c r="M179" s="161"/>
      <c r="N179" s="161"/>
      <c r="O179" s="19"/>
      <c r="P179" s="161"/>
      <c r="Q179" s="19"/>
      <c r="R179" s="19"/>
      <c r="S179" s="19"/>
      <c r="T179" s="19"/>
      <c r="U179" s="19"/>
      <c r="V179" s="19"/>
    </row>
    <row r="180" spans="1:22">
      <c r="A180" s="18"/>
      <c r="B180" s="19"/>
      <c r="C180" s="19"/>
      <c r="D180" s="19"/>
      <c r="E180" s="19"/>
      <c r="F180" s="19"/>
      <c r="G180" s="19"/>
      <c r="H180" s="19"/>
      <c r="I180" s="19"/>
      <c r="J180" s="19"/>
      <c r="K180" s="19"/>
      <c r="L180" s="19"/>
      <c r="M180" s="161"/>
      <c r="N180" s="161"/>
      <c r="O180" s="19"/>
      <c r="P180" s="161"/>
      <c r="Q180" s="19"/>
      <c r="R180" s="19"/>
      <c r="S180" s="19"/>
      <c r="T180" s="19"/>
      <c r="U180" s="19"/>
      <c r="V180" s="19"/>
    </row>
    <row r="181" spans="1:22">
      <c r="A181" s="18"/>
      <c r="B181" s="19"/>
      <c r="C181" s="19"/>
      <c r="D181" s="19"/>
      <c r="E181" s="19"/>
      <c r="F181" s="19"/>
      <c r="G181" s="19"/>
      <c r="H181" s="19"/>
      <c r="I181" s="19"/>
      <c r="J181" s="19"/>
      <c r="K181" s="19"/>
      <c r="L181" s="19"/>
      <c r="M181" s="161"/>
      <c r="N181" s="161"/>
      <c r="O181" s="19"/>
      <c r="P181" s="161"/>
      <c r="Q181" s="19"/>
      <c r="R181" s="19"/>
      <c r="S181" s="19"/>
      <c r="T181" s="19"/>
      <c r="U181" s="19"/>
      <c r="V181" s="19"/>
    </row>
    <row r="182" spans="1:22">
      <c r="A182" s="18"/>
      <c r="B182" s="19"/>
      <c r="C182" s="19"/>
      <c r="D182" s="19"/>
      <c r="E182" s="19"/>
      <c r="F182" s="19"/>
      <c r="G182" s="19"/>
      <c r="H182" s="19"/>
      <c r="I182" s="19"/>
      <c r="J182" s="19"/>
      <c r="K182" s="19"/>
      <c r="L182" s="19"/>
      <c r="M182" s="161"/>
      <c r="N182" s="161"/>
      <c r="O182" s="19"/>
      <c r="P182" s="161"/>
      <c r="Q182" s="19"/>
      <c r="R182" s="19"/>
      <c r="S182" s="19"/>
      <c r="T182" s="19"/>
      <c r="U182" s="19"/>
      <c r="V182" s="19"/>
    </row>
    <row r="183" spans="1:22">
      <c r="A183" s="18"/>
      <c r="B183" s="19"/>
      <c r="C183" s="19"/>
      <c r="D183" s="19"/>
      <c r="E183" s="19"/>
      <c r="F183" s="19"/>
      <c r="G183" s="19"/>
      <c r="H183" s="19"/>
      <c r="I183" s="19"/>
      <c r="J183" s="19"/>
      <c r="K183" s="19"/>
      <c r="L183" s="19"/>
      <c r="M183" s="161"/>
      <c r="N183" s="161"/>
      <c r="O183" s="19"/>
      <c r="P183" s="161"/>
      <c r="Q183" s="19"/>
      <c r="R183" s="19"/>
      <c r="S183" s="19"/>
      <c r="T183" s="19"/>
      <c r="U183" s="19"/>
      <c r="V183" s="19"/>
    </row>
    <row r="184" spans="1:22">
      <c r="A184" s="18"/>
      <c r="B184" s="19"/>
      <c r="C184" s="19"/>
      <c r="D184" s="19"/>
      <c r="E184" s="19"/>
      <c r="F184" s="19"/>
      <c r="G184" s="19"/>
      <c r="H184" s="19"/>
      <c r="I184" s="19"/>
      <c r="J184" s="19"/>
      <c r="K184" s="19"/>
      <c r="L184" s="19"/>
      <c r="M184" s="161"/>
      <c r="N184" s="161"/>
      <c r="O184" s="19"/>
      <c r="P184" s="161"/>
      <c r="Q184" s="19"/>
      <c r="R184" s="19"/>
      <c r="S184" s="19"/>
      <c r="T184" s="19"/>
      <c r="U184" s="19"/>
      <c r="V184" s="19"/>
    </row>
    <row r="185" spans="1:22">
      <c r="A185" s="18"/>
      <c r="B185" s="19"/>
      <c r="C185" s="19"/>
      <c r="D185" s="19"/>
      <c r="E185" s="19"/>
      <c r="F185" s="19"/>
      <c r="G185" s="19"/>
      <c r="H185" s="19"/>
      <c r="I185" s="19"/>
      <c r="J185" s="19"/>
      <c r="K185" s="19"/>
      <c r="L185" s="19"/>
      <c r="M185" s="161"/>
      <c r="N185" s="161"/>
      <c r="O185" s="19"/>
      <c r="P185" s="161"/>
      <c r="Q185" s="19"/>
      <c r="R185" s="19"/>
      <c r="S185" s="19"/>
      <c r="T185" s="19"/>
      <c r="U185" s="19"/>
      <c r="V185" s="19"/>
    </row>
    <row r="186" spans="1:22">
      <c r="A186" s="18"/>
      <c r="B186" s="19"/>
      <c r="C186" s="19"/>
      <c r="D186" s="19"/>
      <c r="E186" s="19"/>
      <c r="F186" s="19"/>
      <c r="G186" s="19"/>
      <c r="H186" s="19"/>
      <c r="I186" s="19"/>
      <c r="J186" s="19"/>
      <c r="K186" s="19"/>
      <c r="L186" s="19"/>
      <c r="M186" s="161"/>
      <c r="N186" s="161"/>
      <c r="O186" s="19"/>
      <c r="P186" s="161"/>
      <c r="Q186" s="19"/>
      <c r="R186" s="19"/>
      <c r="S186" s="19"/>
      <c r="T186" s="19"/>
      <c r="U186" s="19"/>
      <c r="V186" s="19"/>
    </row>
    <row r="187" spans="1:22">
      <c r="A187" s="18"/>
      <c r="B187" s="19"/>
      <c r="C187" s="19"/>
      <c r="D187" s="19"/>
      <c r="E187" s="19"/>
      <c r="F187" s="19"/>
      <c r="G187" s="19"/>
      <c r="H187" s="19"/>
      <c r="I187" s="19"/>
      <c r="J187" s="19"/>
      <c r="K187" s="19"/>
      <c r="L187" s="19"/>
      <c r="M187" s="161"/>
      <c r="N187" s="161"/>
      <c r="O187" s="19"/>
      <c r="P187" s="161"/>
      <c r="Q187" s="19"/>
      <c r="R187" s="19"/>
      <c r="S187" s="19"/>
      <c r="T187" s="19"/>
      <c r="U187" s="19"/>
      <c r="V187" s="19"/>
    </row>
    <row r="188" spans="1:22">
      <c r="A188" s="18"/>
      <c r="B188" s="19"/>
      <c r="C188" s="19"/>
      <c r="D188" s="19"/>
      <c r="E188" s="19"/>
      <c r="F188" s="19"/>
      <c r="G188" s="19"/>
      <c r="H188" s="19"/>
      <c r="I188" s="19"/>
      <c r="J188" s="19"/>
      <c r="K188" s="19"/>
      <c r="L188" s="19"/>
      <c r="M188" s="161"/>
      <c r="N188" s="161"/>
      <c r="O188" s="19"/>
      <c r="P188" s="161"/>
      <c r="Q188" s="19"/>
      <c r="R188" s="19"/>
      <c r="S188" s="19"/>
      <c r="T188" s="19"/>
      <c r="U188" s="19"/>
      <c r="V188" s="19"/>
    </row>
    <row r="189" spans="1:22">
      <c r="A189" s="18"/>
      <c r="B189" s="19"/>
      <c r="C189" s="19"/>
      <c r="D189" s="19"/>
      <c r="E189" s="19"/>
      <c r="F189" s="19"/>
      <c r="G189" s="19"/>
      <c r="H189" s="19"/>
      <c r="I189" s="19"/>
      <c r="J189" s="19"/>
      <c r="K189" s="19"/>
      <c r="L189" s="19"/>
      <c r="M189" s="161"/>
      <c r="N189" s="161"/>
      <c r="O189" s="19"/>
      <c r="P189" s="161"/>
      <c r="Q189" s="19"/>
      <c r="R189" s="19"/>
      <c r="S189" s="19"/>
      <c r="T189" s="19"/>
      <c r="U189" s="19"/>
      <c r="V189" s="19"/>
    </row>
    <row r="190" spans="1:22">
      <c r="A190" s="18"/>
      <c r="B190" s="19"/>
      <c r="C190" s="19"/>
      <c r="D190" s="19"/>
      <c r="E190" s="19"/>
      <c r="F190" s="19"/>
      <c r="G190" s="19"/>
      <c r="H190" s="19"/>
      <c r="I190" s="19"/>
      <c r="J190" s="19"/>
      <c r="K190" s="19"/>
      <c r="L190" s="19"/>
      <c r="M190" s="161"/>
      <c r="N190" s="161"/>
      <c r="O190" s="19"/>
      <c r="P190" s="161"/>
      <c r="Q190" s="19"/>
      <c r="R190" s="19"/>
      <c r="S190" s="19"/>
      <c r="T190" s="19"/>
      <c r="U190" s="19"/>
      <c r="V190" s="19"/>
    </row>
    <row r="191" spans="1:22">
      <c r="A191" s="18"/>
      <c r="B191" s="19"/>
      <c r="C191" s="19"/>
      <c r="D191" s="19"/>
      <c r="E191" s="19"/>
      <c r="F191" s="19"/>
      <c r="G191" s="19"/>
      <c r="H191" s="19"/>
      <c r="I191" s="19"/>
      <c r="J191" s="19"/>
      <c r="K191" s="19"/>
      <c r="L191" s="19"/>
      <c r="M191" s="161"/>
      <c r="N191" s="161"/>
      <c r="O191" s="19"/>
      <c r="P191" s="161"/>
      <c r="Q191" s="19"/>
      <c r="R191" s="19"/>
      <c r="S191" s="19"/>
      <c r="T191" s="19"/>
      <c r="U191" s="19"/>
      <c r="V191" s="19"/>
    </row>
    <row r="192" spans="1:22" s="18" customFormat="1" ht="12">
      <c r="B192" s="19"/>
      <c r="C192" s="19"/>
      <c r="D192" s="19"/>
      <c r="E192" s="19"/>
      <c r="F192" s="19"/>
      <c r="G192" s="19"/>
      <c r="H192" s="19"/>
      <c r="I192" s="19"/>
      <c r="J192" s="19"/>
      <c r="K192" s="19"/>
      <c r="L192" s="19"/>
      <c r="M192" s="19"/>
      <c r="N192" s="19"/>
      <c r="O192" s="19"/>
      <c r="P192" s="19"/>
      <c r="Q192" s="19"/>
      <c r="R192" s="19"/>
      <c r="S192" s="19"/>
      <c r="T192" s="19"/>
      <c r="U192" s="19"/>
      <c r="V192" s="19"/>
    </row>
    <row r="193" spans="1:22">
      <c r="A193" s="18"/>
      <c r="B193" s="32"/>
      <c r="C193" s="32"/>
      <c r="D193" s="32"/>
      <c r="E193" s="32"/>
      <c r="F193" s="32"/>
      <c r="G193" s="19"/>
      <c r="H193" s="19"/>
      <c r="I193" s="19"/>
      <c r="J193" s="19"/>
      <c r="K193" s="19"/>
      <c r="L193" s="19"/>
      <c r="M193" s="161"/>
      <c r="N193" s="161"/>
      <c r="O193" s="19"/>
      <c r="P193" s="161"/>
      <c r="Q193" s="19"/>
      <c r="R193" s="19"/>
      <c r="S193" s="19"/>
      <c r="T193" s="19"/>
      <c r="U193" s="19"/>
      <c r="V193" s="19"/>
    </row>
    <row r="194" spans="1:22">
      <c r="A194" s="18"/>
      <c r="B194" s="32"/>
      <c r="C194" s="32"/>
      <c r="D194" s="32"/>
      <c r="E194" s="32"/>
      <c r="F194" s="32"/>
      <c r="G194" s="19"/>
      <c r="H194" s="19"/>
      <c r="I194" s="19"/>
      <c r="J194" s="19"/>
      <c r="K194" s="19"/>
      <c r="L194" s="19"/>
      <c r="M194" s="161"/>
      <c r="N194" s="161"/>
      <c r="O194" s="19"/>
      <c r="P194" s="161"/>
      <c r="Q194" s="19"/>
      <c r="R194" s="19"/>
      <c r="S194" s="19"/>
      <c r="T194" s="19"/>
      <c r="U194" s="19"/>
      <c r="V194" s="19"/>
    </row>
    <row r="195" spans="1:22">
      <c r="A195" s="18"/>
      <c r="B195" s="32"/>
      <c r="C195" s="32"/>
      <c r="D195" s="32"/>
      <c r="E195" s="32"/>
      <c r="F195" s="32"/>
      <c r="G195" s="19"/>
      <c r="H195" s="19"/>
      <c r="I195" s="19"/>
      <c r="J195" s="19"/>
      <c r="K195" s="19"/>
      <c r="L195" s="19"/>
      <c r="M195" s="161"/>
      <c r="N195" s="161"/>
      <c r="O195" s="19"/>
      <c r="P195" s="161"/>
      <c r="Q195" s="19"/>
      <c r="R195" s="19"/>
      <c r="S195" s="19"/>
      <c r="T195" s="19"/>
      <c r="U195" s="19"/>
      <c r="V195" s="19"/>
    </row>
    <row r="196" spans="1:22">
      <c r="A196" s="18"/>
      <c r="B196" s="32"/>
      <c r="C196" s="32"/>
      <c r="D196" s="32"/>
      <c r="E196" s="32"/>
      <c r="F196" s="32"/>
      <c r="G196" s="19"/>
      <c r="H196" s="19"/>
      <c r="I196" s="19"/>
      <c r="J196" s="19"/>
      <c r="K196" s="19"/>
      <c r="L196" s="19"/>
      <c r="M196" s="161"/>
      <c r="N196" s="161"/>
      <c r="O196" s="19"/>
      <c r="P196" s="161"/>
      <c r="Q196" s="19"/>
      <c r="R196" s="19"/>
      <c r="S196" s="19"/>
      <c r="T196" s="19"/>
      <c r="U196" s="19"/>
      <c r="V196" s="19"/>
    </row>
    <row r="197" spans="1:22">
      <c r="A197" s="18"/>
      <c r="B197" s="19"/>
      <c r="C197" s="19"/>
      <c r="D197" s="19"/>
      <c r="E197" s="19"/>
      <c r="F197" s="19"/>
      <c r="G197" s="19"/>
      <c r="H197" s="19"/>
      <c r="I197" s="19"/>
      <c r="J197" s="19"/>
      <c r="K197" s="19"/>
      <c r="L197" s="19"/>
      <c r="M197" s="161"/>
      <c r="N197" s="161"/>
      <c r="O197" s="19"/>
      <c r="P197" s="161"/>
      <c r="Q197" s="19"/>
      <c r="R197" s="19"/>
      <c r="S197" s="19"/>
      <c r="T197" s="19"/>
      <c r="U197" s="19"/>
      <c r="V197" s="19"/>
    </row>
    <row r="198" spans="1:22">
      <c r="A198" s="18"/>
      <c r="B198" s="19"/>
      <c r="C198" s="19"/>
      <c r="D198" s="19"/>
      <c r="E198" s="19"/>
      <c r="F198" s="19"/>
      <c r="G198" s="19"/>
      <c r="H198" s="19"/>
      <c r="I198" s="19"/>
      <c r="J198" s="19"/>
      <c r="K198" s="19"/>
      <c r="L198" s="19"/>
      <c r="M198" s="161"/>
      <c r="N198" s="161"/>
      <c r="O198" s="19"/>
      <c r="P198" s="161"/>
      <c r="Q198" s="19"/>
      <c r="R198" s="19"/>
      <c r="S198" s="19"/>
      <c r="T198" s="19"/>
      <c r="U198" s="19"/>
      <c r="V198" s="19"/>
    </row>
    <row r="199" spans="1:22">
      <c r="A199" s="18"/>
      <c r="B199" s="19"/>
      <c r="C199" s="19"/>
      <c r="D199" s="19"/>
      <c r="E199" s="19"/>
      <c r="F199" s="19"/>
      <c r="G199" s="19"/>
      <c r="H199" s="19"/>
      <c r="I199" s="19"/>
      <c r="J199" s="19"/>
      <c r="K199" s="19"/>
      <c r="L199" s="19"/>
      <c r="M199" s="161"/>
      <c r="N199" s="161"/>
      <c r="O199" s="19"/>
      <c r="P199" s="161"/>
      <c r="Q199" s="19"/>
      <c r="R199" s="19"/>
      <c r="S199" s="19"/>
      <c r="T199" s="19"/>
      <c r="U199" s="19"/>
      <c r="V199" s="19"/>
    </row>
    <row r="200" spans="1:22">
      <c r="A200" s="18"/>
      <c r="B200" s="19"/>
      <c r="C200" s="19"/>
      <c r="D200" s="19"/>
      <c r="E200" s="19"/>
      <c r="F200" s="19"/>
      <c r="G200" s="19"/>
      <c r="H200" s="19"/>
      <c r="I200" s="19"/>
      <c r="J200" s="19"/>
      <c r="K200" s="19"/>
      <c r="L200" s="19"/>
      <c r="M200" s="161"/>
      <c r="N200" s="161"/>
      <c r="O200" s="19"/>
      <c r="P200" s="161"/>
      <c r="Q200" s="19"/>
      <c r="R200" s="19"/>
      <c r="S200" s="19"/>
      <c r="T200" s="19"/>
      <c r="U200" s="19"/>
      <c r="V200" s="19"/>
    </row>
    <row r="201" spans="1:22">
      <c r="A201" s="18"/>
      <c r="B201" s="19"/>
      <c r="C201" s="19"/>
      <c r="D201" s="19"/>
      <c r="E201" s="19"/>
      <c r="F201" s="19"/>
      <c r="G201" s="19"/>
      <c r="H201" s="19"/>
      <c r="I201" s="19"/>
      <c r="J201" s="19"/>
      <c r="K201" s="19"/>
      <c r="L201" s="19"/>
      <c r="M201" s="161"/>
      <c r="N201" s="161"/>
      <c r="O201" s="19"/>
      <c r="P201" s="161"/>
      <c r="Q201" s="19"/>
      <c r="R201" s="19"/>
      <c r="S201" s="19"/>
      <c r="T201" s="19"/>
      <c r="U201" s="19"/>
      <c r="V201" s="19"/>
    </row>
    <row r="202" spans="1:22">
      <c r="A202" s="18"/>
      <c r="B202" s="19"/>
      <c r="C202" s="19"/>
      <c r="D202" s="19"/>
      <c r="E202" s="19"/>
      <c r="F202" s="19"/>
      <c r="G202" s="19"/>
      <c r="H202" s="19"/>
      <c r="I202" s="19"/>
      <c r="J202" s="19"/>
      <c r="K202" s="19"/>
      <c r="L202" s="19"/>
      <c r="M202" s="161"/>
      <c r="N202" s="161"/>
      <c r="O202" s="19"/>
      <c r="P202" s="161"/>
      <c r="Q202" s="19"/>
      <c r="R202" s="19"/>
      <c r="S202" s="19"/>
      <c r="T202" s="19"/>
      <c r="U202" s="19"/>
      <c r="V202" s="19"/>
    </row>
    <row r="203" spans="1:22">
      <c r="A203" s="18"/>
      <c r="B203" s="19"/>
      <c r="C203" s="19"/>
      <c r="D203" s="19"/>
      <c r="E203" s="19"/>
      <c r="F203" s="19"/>
      <c r="G203" s="19"/>
      <c r="H203" s="19"/>
      <c r="I203" s="19"/>
      <c r="J203" s="19"/>
      <c r="K203" s="19"/>
      <c r="L203" s="19"/>
      <c r="M203" s="161"/>
      <c r="N203" s="161"/>
      <c r="O203" s="19"/>
      <c r="P203" s="161"/>
      <c r="Q203" s="19"/>
      <c r="R203" s="19"/>
      <c r="S203" s="19"/>
      <c r="T203" s="19"/>
      <c r="U203" s="19"/>
      <c r="V203" s="19"/>
    </row>
    <row r="204" spans="1:22">
      <c r="A204" s="18"/>
      <c r="B204" s="19"/>
      <c r="C204" s="19"/>
      <c r="D204" s="19"/>
      <c r="E204" s="19"/>
      <c r="F204" s="19"/>
      <c r="G204" s="19"/>
      <c r="H204" s="19"/>
      <c r="I204" s="19"/>
      <c r="J204" s="19"/>
      <c r="K204" s="19"/>
      <c r="L204" s="19"/>
      <c r="M204" s="161"/>
      <c r="N204" s="161"/>
      <c r="O204" s="19"/>
      <c r="P204" s="161"/>
      <c r="Q204" s="19"/>
      <c r="R204" s="19"/>
      <c r="S204" s="19"/>
      <c r="T204" s="19"/>
      <c r="U204" s="19"/>
      <c r="V204" s="19"/>
    </row>
    <row r="205" spans="1:22">
      <c r="A205" s="18"/>
      <c r="B205" s="19"/>
      <c r="C205" s="19"/>
      <c r="D205" s="19"/>
      <c r="E205" s="19"/>
      <c r="F205" s="19"/>
      <c r="G205" s="19"/>
      <c r="H205" s="19"/>
      <c r="I205" s="19"/>
      <c r="J205" s="19"/>
      <c r="K205" s="19"/>
      <c r="L205" s="19"/>
      <c r="M205" s="161"/>
      <c r="N205" s="161"/>
      <c r="O205" s="19"/>
      <c r="P205" s="161"/>
      <c r="Q205" s="19"/>
      <c r="R205" s="19"/>
      <c r="S205" s="19"/>
      <c r="T205" s="19"/>
      <c r="U205" s="19"/>
      <c r="V205" s="19"/>
    </row>
    <row r="206" spans="1:22">
      <c r="A206" s="18"/>
      <c r="B206" s="19"/>
      <c r="C206" s="19"/>
      <c r="D206" s="19"/>
      <c r="E206" s="19"/>
      <c r="F206" s="19"/>
      <c r="G206" s="19"/>
      <c r="H206" s="19"/>
      <c r="I206" s="19"/>
      <c r="J206" s="19"/>
      <c r="K206" s="19"/>
      <c r="L206" s="19"/>
      <c r="M206" s="161"/>
      <c r="N206" s="161"/>
      <c r="O206" s="19"/>
      <c r="P206" s="161"/>
      <c r="Q206" s="19"/>
      <c r="R206" s="19"/>
      <c r="S206" s="19"/>
      <c r="T206" s="19"/>
      <c r="U206" s="19"/>
      <c r="V206" s="19"/>
    </row>
    <row r="207" spans="1:22">
      <c r="A207" s="18"/>
      <c r="B207" s="19"/>
      <c r="C207" s="19"/>
      <c r="D207" s="19"/>
      <c r="E207" s="19"/>
      <c r="F207" s="19"/>
      <c r="G207" s="19"/>
      <c r="H207" s="19"/>
      <c r="I207" s="19"/>
      <c r="J207" s="19"/>
      <c r="K207" s="19"/>
      <c r="L207" s="19"/>
      <c r="M207" s="161"/>
      <c r="N207" s="161"/>
      <c r="O207" s="19"/>
      <c r="P207" s="161"/>
      <c r="Q207" s="19"/>
      <c r="R207" s="19"/>
      <c r="S207" s="19"/>
      <c r="T207" s="19"/>
      <c r="U207" s="19"/>
      <c r="V207" s="19"/>
    </row>
    <row r="208" spans="1:22">
      <c r="A208" s="18"/>
      <c r="B208" s="19"/>
      <c r="C208" s="19"/>
      <c r="D208" s="19"/>
      <c r="E208" s="19"/>
      <c r="F208" s="19"/>
      <c r="G208" s="19"/>
      <c r="H208" s="19"/>
      <c r="I208" s="19"/>
      <c r="J208" s="19"/>
      <c r="K208" s="19"/>
      <c r="L208" s="19"/>
      <c r="M208" s="161"/>
      <c r="N208" s="161"/>
      <c r="O208" s="19"/>
      <c r="P208" s="161"/>
      <c r="Q208" s="19"/>
      <c r="R208" s="19"/>
      <c r="S208" s="19"/>
      <c r="T208" s="19"/>
      <c r="U208" s="19"/>
      <c r="V208" s="19"/>
    </row>
    <row r="209" spans="1:22">
      <c r="A209" s="18"/>
      <c r="B209" s="19"/>
      <c r="C209" s="19"/>
      <c r="D209" s="19"/>
      <c r="E209" s="19"/>
      <c r="F209" s="19"/>
      <c r="G209" s="19"/>
      <c r="H209" s="19"/>
      <c r="I209" s="19"/>
      <c r="J209" s="19"/>
      <c r="K209" s="19"/>
      <c r="L209" s="19"/>
      <c r="M209" s="161"/>
      <c r="N209" s="161"/>
      <c r="O209" s="19"/>
      <c r="P209" s="161"/>
      <c r="Q209" s="19"/>
      <c r="R209" s="19"/>
      <c r="S209" s="19"/>
      <c r="T209" s="19"/>
      <c r="U209" s="19"/>
      <c r="V209" s="19"/>
    </row>
    <row r="210" spans="1:22" s="18" customFormat="1" ht="12">
      <c r="B210" s="19"/>
      <c r="C210" s="19"/>
      <c r="D210" s="19"/>
      <c r="E210" s="19"/>
      <c r="F210" s="19"/>
      <c r="G210" s="19"/>
      <c r="H210" s="19"/>
      <c r="I210" s="19"/>
      <c r="J210" s="19"/>
      <c r="K210" s="19"/>
      <c r="L210" s="19"/>
      <c r="M210" s="19"/>
      <c r="N210" s="19"/>
      <c r="O210" s="19"/>
      <c r="P210" s="19"/>
      <c r="Q210" s="19"/>
      <c r="R210" s="19"/>
      <c r="S210" s="19"/>
      <c r="T210" s="19"/>
      <c r="U210" s="19"/>
      <c r="V210" s="19"/>
    </row>
    <row r="211" spans="1:22">
      <c r="A211" s="18"/>
      <c r="B211" s="32"/>
      <c r="C211" s="32"/>
      <c r="D211" s="32"/>
      <c r="E211" s="32"/>
      <c r="F211" s="32"/>
      <c r="G211" s="19"/>
      <c r="H211" s="19"/>
      <c r="I211" s="19"/>
      <c r="J211" s="19"/>
      <c r="K211" s="19"/>
      <c r="L211" s="19"/>
      <c r="M211" s="161"/>
      <c r="N211" s="161"/>
      <c r="O211" s="19"/>
      <c r="P211" s="161"/>
      <c r="Q211" s="19"/>
      <c r="R211" s="19"/>
      <c r="S211" s="19"/>
      <c r="T211" s="19"/>
      <c r="U211" s="19"/>
      <c r="V211" s="19"/>
    </row>
    <row r="212" spans="1:22">
      <c r="A212" s="18"/>
      <c r="B212" s="19"/>
      <c r="C212" s="19"/>
      <c r="D212" s="19"/>
      <c r="E212" s="19"/>
      <c r="F212" s="19"/>
      <c r="G212" s="19"/>
      <c r="H212" s="19"/>
      <c r="I212" s="19"/>
      <c r="J212" s="19"/>
      <c r="K212" s="19"/>
      <c r="L212" s="19"/>
      <c r="M212" s="161"/>
      <c r="N212" s="161"/>
      <c r="O212" s="19"/>
      <c r="P212" s="161"/>
      <c r="Q212" s="19"/>
      <c r="R212" s="19"/>
      <c r="S212" s="19"/>
      <c r="T212" s="19"/>
      <c r="U212" s="19"/>
      <c r="V212" s="19"/>
    </row>
    <row r="213" spans="1:22">
      <c r="A213" s="18"/>
      <c r="B213" s="19"/>
      <c r="C213" s="19"/>
      <c r="D213" s="19"/>
      <c r="E213" s="19"/>
      <c r="F213" s="19"/>
      <c r="G213" s="19"/>
      <c r="H213" s="19"/>
      <c r="I213" s="19"/>
      <c r="J213" s="19"/>
      <c r="K213" s="19"/>
      <c r="L213" s="19"/>
      <c r="M213" s="161"/>
      <c r="N213" s="161"/>
      <c r="O213" s="19"/>
      <c r="P213" s="161"/>
      <c r="Q213" s="19"/>
      <c r="R213" s="19"/>
      <c r="S213" s="19"/>
      <c r="T213" s="19"/>
      <c r="U213" s="19"/>
      <c r="V213" s="19"/>
    </row>
    <row r="214" spans="1:22">
      <c r="A214" s="18"/>
      <c r="B214" s="19"/>
      <c r="C214" s="19"/>
      <c r="D214" s="19"/>
      <c r="E214" s="19"/>
      <c r="F214" s="19"/>
      <c r="G214" s="19"/>
      <c r="H214" s="19"/>
      <c r="I214" s="19"/>
      <c r="J214" s="19"/>
      <c r="K214" s="19"/>
      <c r="L214" s="19"/>
      <c r="M214" s="161"/>
      <c r="N214" s="161"/>
      <c r="O214" s="19"/>
      <c r="P214" s="161"/>
      <c r="Q214" s="19"/>
      <c r="R214" s="19"/>
      <c r="S214" s="19"/>
      <c r="T214" s="19"/>
      <c r="U214" s="19"/>
      <c r="V214" s="19"/>
    </row>
    <row r="215" spans="1:22">
      <c r="A215" s="18"/>
      <c r="B215" s="19"/>
      <c r="C215" s="19"/>
      <c r="D215" s="19"/>
      <c r="E215" s="19"/>
      <c r="F215" s="19"/>
      <c r="G215" s="19"/>
      <c r="H215" s="19"/>
      <c r="I215" s="19"/>
      <c r="J215" s="19"/>
      <c r="K215" s="19"/>
      <c r="L215" s="19"/>
      <c r="M215" s="161"/>
      <c r="N215" s="161"/>
      <c r="O215" s="19"/>
      <c r="P215" s="161"/>
      <c r="Q215" s="19"/>
      <c r="R215" s="19"/>
      <c r="S215" s="19"/>
      <c r="T215" s="19"/>
      <c r="U215" s="19"/>
      <c r="V215" s="19"/>
    </row>
    <row r="216" spans="1:22">
      <c r="A216" s="18"/>
      <c r="B216" s="19"/>
      <c r="C216" s="19"/>
      <c r="D216" s="19"/>
      <c r="E216" s="19"/>
      <c r="F216" s="19"/>
      <c r="G216" s="19"/>
      <c r="H216" s="19"/>
      <c r="I216" s="19"/>
      <c r="J216" s="19"/>
      <c r="K216" s="19"/>
      <c r="L216" s="19"/>
      <c r="M216" s="161"/>
      <c r="N216" s="161"/>
      <c r="O216" s="19"/>
      <c r="P216" s="161"/>
      <c r="Q216" s="19"/>
      <c r="R216" s="19"/>
      <c r="S216" s="19"/>
      <c r="T216" s="19"/>
      <c r="U216" s="19"/>
      <c r="V216" s="19"/>
    </row>
    <row r="217" spans="1:22">
      <c r="A217" s="18"/>
      <c r="B217" s="19"/>
      <c r="C217" s="19"/>
      <c r="D217" s="19"/>
      <c r="E217" s="19"/>
      <c r="F217" s="19"/>
      <c r="G217" s="19"/>
      <c r="H217" s="19"/>
      <c r="I217" s="19"/>
      <c r="J217" s="19"/>
      <c r="K217" s="19"/>
      <c r="L217" s="19"/>
      <c r="M217" s="161"/>
      <c r="N217" s="161"/>
      <c r="O217" s="19"/>
      <c r="P217" s="161"/>
      <c r="Q217" s="19"/>
      <c r="R217" s="19"/>
      <c r="S217" s="19"/>
      <c r="T217" s="19"/>
      <c r="U217" s="19"/>
      <c r="V217" s="19"/>
    </row>
    <row r="218" spans="1:22">
      <c r="A218" s="18"/>
      <c r="B218" s="19"/>
      <c r="C218" s="19"/>
      <c r="D218" s="19"/>
      <c r="E218" s="19"/>
      <c r="F218" s="19"/>
      <c r="G218" s="19"/>
      <c r="H218" s="19"/>
      <c r="I218" s="19"/>
      <c r="J218" s="19"/>
      <c r="K218" s="19"/>
      <c r="L218" s="19"/>
      <c r="M218" s="161"/>
      <c r="N218" s="161"/>
      <c r="O218" s="19"/>
      <c r="P218" s="161"/>
      <c r="Q218" s="19"/>
      <c r="R218" s="19"/>
      <c r="S218" s="19"/>
      <c r="T218" s="19"/>
      <c r="U218" s="19"/>
      <c r="V218" s="19"/>
    </row>
    <row r="219" spans="1:22">
      <c r="A219" s="18"/>
      <c r="B219" s="19"/>
      <c r="C219" s="19"/>
      <c r="D219" s="19"/>
      <c r="E219" s="19"/>
      <c r="F219" s="19"/>
      <c r="G219" s="19"/>
      <c r="H219" s="19"/>
      <c r="I219" s="19"/>
      <c r="J219" s="19"/>
      <c r="K219" s="19"/>
      <c r="L219" s="19"/>
      <c r="M219" s="161"/>
      <c r="N219" s="161"/>
      <c r="O219" s="19"/>
      <c r="P219" s="161"/>
      <c r="Q219" s="19"/>
      <c r="R219" s="19"/>
      <c r="S219" s="19"/>
      <c r="T219" s="19"/>
      <c r="U219" s="19"/>
      <c r="V219" s="19"/>
    </row>
    <row r="220" spans="1:22">
      <c r="A220" s="18"/>
      <c r="B220" s="19"/>
      <c r="C220" s="19"/>
      <c r="D220" s="19"/>
      <c r="E220" s="19"/>
      <c r="F220" s="19"/>
      <c r="G220" s="19"/>
      <c r="H220" s="19"/>
      <c r="I220" s="19"/>
      <c r="J220" s="19"/>
      <c r="K220" s="19"/>
      <c r="L220" s="19"/>
      <c r="M220" s="161"/>
      <c r="N220" s="161"/>
      <c r="O220" s="19"/>
      <c r="P220" s="161"/>
      <c r="Q220" s="19"/>
      <c r="R220" s="19"/>
      <c r="S220" s="19"/>
      <c r="T220" s="19"/>
      <c r="U220" s="19"/>
      <c r="V220" s="19"/>
    </row>
    <row r="221" spans="1:22">
      <c r="A221" s="18"/>
      <c r="B221" s="19"/>
      <c r="C221" s="19"/>
      <c r="D221" s="19"/>
      <c r="E221" s="19"/>
      <c r="F221" s="19"/>
      <c r="G221" s="19"/>
      <c r="H221" s="19"/>
      <c r="I221" s="19"/>
      <c r="J221" s="19"/>
      <c r="K221" s="19"/>
      <c r="L221" s="19"/>
      <c r="M221" s="161"/>
      <c r="N221" s="161"/>
      <c r="O221" s="19"/>
      <c r="P221" s="161"/>
      <c r="Q221" s="19"/>
      <c r="R221" s="19"/>
      <c r="S221" s="19"/>
      <c r="T221" s="19"/>
      <c r="U221" s="19"/>
      <c r="V221" s="19"/>
    </row>
    <row r="222" spans="1:22">
      <c r="A222" s="18"/>
      <c r="B222" s="19"/>
      <c r="C222" s="19"/>
      <c r="D222" s="19"/>
      <c r="E222" s="19"/>
      <c r="F222" s="19"/>
      <c r="G222" s="19"/>
      <c r="H222" s="19"/>
      <c r="I222" s="19"/>
      <c r="J222" s="19"/>
      <c r="K222" s="19"/>
      <c r="L222" s="19"/>
      <c r="M222" s="161"/>
      <c r="N222" s="161"/>
      <c r="O222" s="19"/>
      <c r="P222" s="161"/>
      <c r="Q222" s="19"/>
      <c r="R222" s="19"/>
      <c r="S222" s="19"/>
      <c r="T222" s="19"/>
      <c r="U222" s="19"/>
      <c r="V222" s="19"/>
    </row>
    <row r="223" spans="1:22">
      <c r="A223" s="18"/>
      <c r="B223" s="19"/>
      <c r="C223" s="19"/>
      <c r="D223" s="19"/>
      <c r="E223" s="19"/>
      <c r="F223" s="19"/>
      <c r="G223" s="19"/>
      <c r="H223" s="19"/>
      <c r="I223" s="19"/>
      <c r="J223" s="19"/>
      <c r="K223" s="19"/>
      <c r="L223" s="19"/>
      <c r="M223" s="161"/>
      <c r="N223" s="161"/>
      <c r="O223" s="19"/>
      <c r="P223" s="161"/>
      <c r="Q223" s="19"/>
      <c r="R223" s="19"/>
      <c r="S223" s="19"/>
      <c r="T223" s="19"/>
      <c r="U223" s="19"/>
      <c r="V223" s="19"/>
    </row>
    <row r="224" spans="1:22">
      <c r="A224" s="18"/>
      <c r="B224" s="19"/>
      <c r="C224" s="19"/>
      <c r="D224" s="19"/>
      <c r="E224" s="19"/>
      <c r="F224" s="19"/>
      <c r="G224" s="19"/>
      <c r="H224" s="19"/>
      <c r="I224" s="19"/>
      <c r="J224" s="19"/>
      <c r="K224" s="19"/>
      <c r="L224" s="19"/>
      <c r="M224" s="161"/>
      <c r="N224" s="161"/>
      <c r="O224" s="19"/>
      <c r="P224" s="161"/>
      <c r="Q224" s="19"/>
      <c r="R224" s="19"/>
      <c r="S224" s="19"/>
      <c r="T224" s="19"/>
      <c r="U224" s="19"/>
      <c r="V224" s="19"/>
    </row>
    <row r="225" spans="1:22">
      <c r="A225" s="18"/>
      <c r="B225" s="19"/>
      <c r="C225" s="19"/>
      <c r="D225" s="19"/>
      <c r="E225" s="19"/>
      <c r="F225" s="19"/>
      <c r="G225" s="19"/>
      <c r="H225" s="19"/>
      <c r="I225" s="19"/>
      <c r="J225" s="19"/>
      <c r="K225" s="19"/>
      <c r="L225" s="19"/>
      <c r="M225" s="161"/>
      <c r="N225" s="161"/>
      <c r="O225" s="19"/>
      <c r="P225" s="161"/>
      <c r="Q225" s="19"/>
      <c r="R225" s="19"/>
      <c r="S225" s="19"/>
      <c r="T225" s="19"/>
      <c r="U225" s="19"/>
      <c r="V225" s="19"/>
    </row>
    <row r="226" spans="1:22" s="18" customFormat="1" ht="12">
      <c r="B226" s="19"/>
      <c r="C226" s="19"/>
      <c r="D226" s="19"/>
      <c r="E226" s="19"/>
      <c r="F226" s="19"/>
      <c r="G226" s="19"/>
      <c r="H226" s="19"/>
      <c r="I226" s="19"/>
      <c r="J226" s="19"/>
      <c r="K226" s="19"/>
      <c r="L226" s="19"/>
      <c r="M226" s="19"/>
      <c r="N226" s="19"/>
      <c r="O226" s="19"/>
      <c r="P226" s="19"/>
      <c r="Q226" s="19"/>
      <c r="R226" s="19"/>
      <c r="S226" s="19"/>
      <c r="T226" s="19"/>
      <c r="U226" s="19"/>
      <c r="V226" s="19"/>
    </row>
    <row r="227" spans="1:22">
      <c r="A227" s="18"/>
      <c r="B227" s="32"/>
      <c r="C227" s="32"/>
      <c r="D227" s="32"/>
      <c r="E227" s="32"/>
      <c r="F227" s="32"/>
      <c r="G227" s="19"/>
      <c r="H227" s="19"/>
      <c r="I227" s="19"/>
      <c r="J227" s="19"/>
      <c r="K227" s="19"/>
      <c r="L227" s="19"/>
      <c r="M227" s="161"/>
      <c r="N227" s="161"/>
      <c r="O227" s="19"/>
      <c r="P227" s="161"/>
      <c r="Q227" s="19"/>
      <c r="R227" s="19"/>
      <c r="S227" s="19"/>
      <c r="T227" s="19"/>
      <c r="U227" s="19"/>
      <c r="V227" s="19"/>
    </row>
    <row r="228" spans="1:22">
      <c r="A228" s="18"/>
      <c r="B228" s="19"/>
      <c r="C228" s="19"/>
      <c r="D228" s="19"/>
      <c r="E228" s="19"/>
      <c r="F228" s="19"/>
      <c r="G228" s="19"/>
      <c r="H228" s="19"/>
      <c r="I228" s="19"/>
      <c r="J228" s="19"/>
      <c r="K228" s="153"/>
      <c r="L228" s="160"/>
      <c r="M228" s="161"/>
      <c r="N228" s="161"/>
      <c r="O228" s="19"/>
      <c r="P228" s="161"/>
      <c r="Q228" s="19"/>
      <c r="R228" s="19"/>
      <c r="S228" s="19"/>
      <c r="T228" s="19"/>
      <c r="U228" s="19"/>
      <c r="V228" s="19"/>
    </row>
    <row r="229" spans="1:22">
      <c r="A229" s="18"/>
      <c r="B229" s="19"/>
      <c r="C229" s="19"/>
      <c r="D229" s="19"/>
      <c r="E229" s="19"/>
      <c r="F229" s="19"/>
      <c r="G229" s="19"/>
      <c r="H229" s="19"/>
      <c r="I229" s="19"/>
      <c r="J229" s="19"/>
      <c r="K229" s="153"/>
      <c r="L229" s="160"/>
      <c r="M229" s="161"/>
      <c r="N229" s="161"/>
      <c r="O229" s="19"/>
      <c r="P229" s="161"/>
      <c r="Q229" s="19"/>
      <c r="R229" s="19"/>
      <c r="S229" s="19"/>
      <c r="T229" s="19"/>
      <c r="U229" s="19"/>
      <c r="V229" s="19"/>
    </row>
    <row r="230" spans="1:22">
      <c r="A230" s="18"/>
      <c r="B230" s="32"/>
      <c r="C230" s="32"/>
      <c r="D230" s="32"/>
      <c r="E230" s="32"/>
      <c r="F230" s="32"/>
      <c r="G230" s="19"/>
      <c r="H230" s="19"/>
      <c r="I230" s="19"/>
      <c r="J230" s="19"/>
      <c r="K230" s="165"/>
      <c r="L230" s="154"/>
      <c r="M230" s="161"/>
      <c r="N230" s="161"/>
      <c r="O230" s="19"/>
      <c r="P230" s="161"/>
      <c r="Q230" s="19"/>
      <c r="R230" s="19"/>
      <c r="S230" s="19"/>
      <c r="T230" s="19"/>
      <c r="U230" s="19"/>
      <c r="V230" s="19"/>
    </row>
    <row r="231" spans="1:22">
      <c r="A231" s="18"/>
      <c r="B231" s="19"/>
      <c r="C231" s="19"/>
      <c r="D231" s="19"/>
      <c r="E231" s="19"/>
      <c r="F231" s="19"/>
      <c r="G231" s="19"/>
      <c r="H231" s="19"/>
      <c r="I231" s="19"/>
      <c r="J231" s="19"/>
      <c r="K231" s="160"/>
      <c r="L231" s="160"/>
      <c r="M231" s="161"/>
      <c r="N231" s="161"/>
      <c r="O231" s="19"/>
      <c r="P231" s="161"/>
      <c r="Q231" s="19"/>
      <c r="R231" s="19"/>
      <c r="S231" s="19"/>
      <c r="T231" s="19"/>
      <c r="U231" s="19"/>
      <c r="V231" s="19"/>
    </row>
    <row r="232" spans="1:22">
      <c r="A232" s="18"/>
      <c r="B232" s="19"/>
      <c r="C232" s="19"/>
      <c r="D232" s="19"/>
      <c r="E232" s="19"/>
      <c r="F232" s="19"/>
      <c r="G232" s="19"/>
      <c r="H232" s="19"/>
      <c r="I232" s="19"/>
      <c r="J232" s="19"/>
      <c r="K232" s="160"/>
      <c r="L232" s="160"/>
      <c r="M232" s="161"/>
      <c r="N232" s="161"/>
      <c r="O232" s="19"/>
      <c r="P232" s="161"/>
      <c r="Q232" s="19"/>
      <c r="R232" s="19"/>
      <c r="S232" s="19"/>
      <c r="T232" s="19"/>
      <c r="U232" s="19"/>
      <c r="V232" s="19"/>
    </row>
    <row r="233" spans="1:22">
      <c r="A233" s="18"/>
      <c r="B233" s="19"/>
      <c r="C233" s="19"/>
      <c r="D233" s="19"/>
      <c r="E233" s="19"/>
      <c r="F233" s="19"/>
      <c r="G233" s="19"/>
      <c r="H233" s="19"/>
      <c r="I233" s="19"/>
      <c r="J233" s="19"/>
      <c r="K233" s="160"/>
      <c r="L233" s="160"/>
      <c r="M233" s="161"/>
      <c r="N233" s="161"/>
      <c r="O233" s="19"/>
      <c r="P233" s="161"/>
      <c r="Q233" s="19"/>
      <c r="R233" s="19"/>
      <c r="S233" s="19"/>
      <c r="T233" s="19"/>
      <c r="U233" s="19"/>
      <c r="V233" s="19"/>
    </row>
    <row r="234" spans="1:22">
      <c r="A234" s="18"/>
      <c r="B234" s="19"/>
      <c r="C234" s="19"/>
      <c r="D234" s="19"/>
      <c r="E234" s="19"/>
      <c r="F234" s="19"/>
      <c r="G234" s="19"/>
      <c r="H234" s="19"/>
      <c r="I234" s="19"/>
      <c r="J234" s="19"/>
      <c r="K234" s="19"/>
      <c r="L234" s="19"/>
      <c r="M234" s="161"/>
      <c r="N234" s="161"/>
      <c r="O234" s="19"/>
      <c r="P234" s="161"/>
      <c r="Q234" s="19"/>
      <c r="R234" s="19"/>
      <c r="S234" s="19"/>
      <c r="T234" s="19"/>
      <c r="U234" s="19"/>
      <c r="V234" s="19"/>
    </row>
    <row r="235" spans="1:22">
      <c r="A235" s="18"/>
      <c r="B235" s="19"/>
      <c r="C235" s="19"/>
      <c r="D235" s="19"/>
      <c r="E235" s="19"/>
      <c r="F235" s="19"/>
      <c r="G235" s="19"/>
      <c r="H235" s="19"/>
      <c r="I235" s="19"/>
      <c r="J235" s="19"/>
      <c r="K235" s="19"/>
      <c r="L235" s="19"/>
      <c r="M235" s="161"/>
      <c r="N235" s="161"/>
      <c r="O235" s="19"/>
      <c r="P235" s="161"/>
      <c r="Q235" s="19"/>
      <c r="R235" s="19"/>
      <c r="S235" s="19"/>
      <c r="T235" s="19"/>
      <c r="U235" s="19"/>
      <c r="V235" s="19"/>
    </row>
    <row r="236" spans="1:22">
      <c r="A236" s="18"/>
      <c r="B236" s="19"/>
      <c r="C236" s="19"/>
      <c r="D236" s="19"/>
      <c r="E236" s="19"/>
      <c r="F236" s="19"/>
      <c r="G236" s="19"/>
      <c r="H236" s="19"/>
      <c r="I236" s="19"/>
      <c r="J236" s="19"/>
      <c r="K236" s="19"/>
      <c r="L236" s="19"/>
      <c r="M236" s="161"/>
      <c r="N236" s="161"/>
      <c r="O236" s="19"/>
      <c r="P236" s="161"/>
      <c r="Q236" s="19"/>
      <c r="R236" s="19"/>
      <c r="S236" s="19"/>
      <c r="T236" s="19"/>
      <c r="U236" s="19"/>
      <c r="V236" s="19"/>
    </row>
    <row r="237" spans="1:22">
      <c r="A237" s="18"/>
      <c r="B237" s="19"/>
      <c r="C237" s="19"/>
      <c r="D237" s="19"/>
      <c r="E237" s="19"/>
      <c r="F237" s="19"/>
      <c r="G237" s="19"/>
      <c r="H237" s="19"/>
      <c r="I237" s="19"/>
      <c r="J237" s="19"/>
      <c r="K237" s="19"/>
      <c r="L237" s="19"/>
      <c r="M237" s="161"/>
      <c r="N237" s="161"/>
      <c r="O237" s="19"/>
      <c r="P237" s="161"/>
      <c r="Q237" s="19"/>
      <c r="R237" s="19"/>
      <c r="S237" s="19"/>
      <c r="T237" s="19"/>
      <c r="U237" s="19"/>
      <c r="V237" s="19"/>
    </row>
    <row r="238" spans="1:22">
      <c r="A238" s="18"/>
      <c r="B238" s="19"/>
      <c r="C238" s="19"/>
      <c r="D238" s="19"/>
      <c r="E238" s="19"/>
      <c r="F238" s="19"/>
      <c r="G238" s="19"/>
      <c r="H238" s="19"/>
      <c r="I238" s="19"/>
      <c r="J238" s="19"/>
      <c r="K238" s="19"/>
      <c r="L238" s="19"/>
      <c r="M238" s="161"/>
      <c r="N238" s="161"/>
      <c r="O238" s="19"/>
      <c r="P238" s="161"/>
      <c r="Q238" s="19"/>
      <c r="R238" s="19"/>
      <c r="S238" s="19"/>
      <c r="T238" s="19"/>
      <c r="U238" s="19"/>
      <c r="V238" s="19"/>
    </row>
    <row r="239" spans="1:22">
      <c r="A239" s="18"/>
      <c r="B239" s="19"/>
      <c r="C239" s="19"/>
      <c r="D239" s="19"/>
      <c r="E239" s="19"/>
      <c r="F239" s="19"/>
      <c r="G239" s="19"/>
      <c r="H239" s="19"/>
      <c r="I239" s="19"/>
      <c r="J239" s="19"/>
      <c r="K239" s="19"/>
      <c r="L239" s="19"/>
      <c r="M239" s="161"/>
      <c r="N239" s="161"/>
      <c r="O239" s="19"/>
      <c r="P239" s="161"/>
      <c r="Q239" s="19"/>
      <c r="R239" s="19"/>
      <c r="S239" s="19"/>
      <c r="T239" s="19"/>
      <c r="U239" s="19"/>
      <c r="V239" s="19"/>
    </row>
    <row r="240" spans="1:22">
      <c r="A240" s="18"/>
      <c r="B240" s="19"/>
      <c r="C240" s="19"/>
      <c r="D240" s="19"/>
      <c r="E240" s="19"/>
      <c r="F240" s="19"/>
      <c r="G240" s="19"/>
      <c r="H240" s="19"/>
      <c r="I240" s="19"/>
      <c r="J240" s="19"/>
      <c r="K240" s="19"/>
      <c r="L240" s="19"/>
      <c r="M240" s="161"/>
      <c r="N240" s="161"/>
      <c r="O240" s="19"/>
      <c r="P240" s="161"/>
      <c r="Q240" s="19"/>
      <c r="R240" s="19"/>
      <c r="S240" s="19"/>
      <c r="T240" s="19"/>
      <c r="U240" s="19"/>
      <c r="V240" s="19"/>
    </row>
    <row r="241" spans="1:22">
      <c r="A241" s="18"/>
      <c r="B241" s="19"/>
      <c r="C241" s="19"/>
      <c r="D241" s="19"/>
      <c r="E241" s="19"/>
      <c r="F241" s="19"/>
      <c r="G241" s="19"/>
      <c r="H241" s="19"/>
      <c r="I241" s="19"/>
      <c r="J241" s="19"/>
      <c r="K241" s="19"/>
      <c r="L241" s="19"/>
      <c r="M241" s="161"/>
      <c r="N241" s="161"/>
      <c r="O241" s="19"/>
      <c r="P241" s="161"/>
      <c r="Q241" s="19"/>
      <c r="R241" s="19"/>
      <c r="S241" s="19"/>
      <c r="T241" s="19"/>
      <c r="U241" s="19"/>
      <c r="V241" s="19"/>
    </row>
    <row r="242" spans="1:22">
      <c r="A242" s="18"/>
      <c r="B242" s="19"/>
      <c r="C242" s="19"/>
      <c r="D242" s="19"/>
      <c r="E242" s="19"/>
      <c r="F242" s="19"/>
      <c r="G242" s="19"/>
      <c r="H242" s="19"/>
      <c r="I242" s="19"/>
      <c r="J242" s="19"/>
      <c r="K242" s="19"/>
      <c r="L242" s="19"/>
      <c r="M242" s="161"/>
      <c r="N242" s="161"/>
      <c r="O242" s="19"/>
      <c r="P242" s="161"/>
      <c r="Q242" s="19"/>
      <c r="R242" s="19"/>
      <c r="S242" s="19"/>
      <c r="T242" s="19"/>
      <c r="U242" s="19"/>
      <c r="V242" s="19"/>
    </row>
    <row r="243" spans="1:22">
      <c r="A243" s="18"/>
      <c r="B243" s="19"/>
      <c r="C243" s="19"/>
      <c r="D243" s="19"/>
      <c r="E243" s="19"/>
      <c r="F243" s="19"/>
      <c r="G243" s="19"/>
      <c r="H243" s="19"/>
      <c r="I243" s="19"/>
      <c r="J243" s="19"/>
      <c r="K243" s="19"/>
      <c r="L243" s="19"/>
      <c r="M243" s="161"/>
      <c r="N243" s="161"/>
      <c r="O243" s="19"/>
      <c r="P243" s="161"/>
      <c r="Q243" s="19"/>
      <c r="R243" s="19"/>
      <c r="S243" s="19"/>
      <c r="T243" s="19"/>
      <c r="U243" s="19"/>
      <c r="V243" s="19"/>
    </row>
    <row r="244" spans="1:22">
      <c r="A244" s="18"/>
      <c r="B244" s="19"/>
      <c r="C244" s="19"/>
      <c r="D244" s="19"/>
      <c r="E244" s="19"/>
      <c r="F244" s="19"/>
      <c r="G244" s="19"/>
      <c r="H244" s="19"/>
      <c r="I244" s="19"/>
      <c r="J244" s="19"/>
      <c r="K244" s="19"/>
      <c r="L244" s="19"/>
      <c r="M244" s="161"/>
      <c r="N244" s="161"/>
      <c r="O244" s="19"/>
      <c r="P244" s="161"/>
      <c r="Q244" s="19"/>
      <c r="R244" s="19"/>
      <c r="S244" s="19"/>
      <c r="T244" s="19"/>
      <c r="U244" s="19"/>
      <c r="V244" s="19"/>
    </row>
    <row r="245" spans="1:22">
      <c r="A245" s="18"/>
      <c r="B245" s="19"/>
      <c r="C245" s="19"/>
      <c r="D245" s="19"/>
      <c r="E245" s="19"/>
      <c r="F245" s="19"/>
      <c r="G245" s="19"/>
      <c r="H245" s="19"/>
      <c r="I245" s="19"/>
      <c r="J245" s="19"/>
      <c r="K245" s="19"/>
      <c r="L245" s="19"/>
      <c r="M245" s="161"/>
      <c r="N245" s="161"/>
      <c r="O245" s="19"/>
      <c r="P245" s="161"/>
      <c r="Q245" s="19"/>
      <c r="R245" s="19"/>
      <c r="S245" s="19"/>
      <c r="T245" s="19"/>
      <c r="U245" s="19"/>
      <c r="V245" s="19"/>
    </row>
    <row r="246" spans="1:22" s="18" customFormat="1" ht="12">
      <c r="B246" s="19"/>
      <c r="C246" s="19"/>
      <c r="D246" s="19"/>
      <c r="E246" s="19"/>
      <c r="F246" s="19"/>
      <c r="G246" s="19"/>
      <c r="H246" s="19"/>
      <c r="I246" s="19"/>
      <c r="J246" s="19"/>
      <c r="K246" s="19"/>
      <c r="L246" s="19"/>
      <c r="M246" s="19"/>
      <c r="N246" s="19"/>
      <c r="O246" s="19"/>
      <c r="P246" s="19"/>
      <c r="Q246" s="19"/>
      <c r="R246" s="19"/>
      <c r="S246" s="19"/>
      <c r="T246" s="19"/>
      <c r="U246" s="19"/>
      <c r="V246" s="19"/>
    </row>
    <row r="247" spans="1:22">
      <c r="A247" s="18"/>
      <c r="B247" s="32"/>
      <c r="C247" s="32"/>
      <c r="D247" s="32"/>
      <c r="E247" s="32"/>
      <c r="F247" s="32"/>
      <c r="G247" s="19"/>
      <c r="H247" s="19"/>
      <c r="I247" s="19"/>
      <c r="J247" s="19"/>
      <c r="K247" s="153"/>
      <c r="L247" s="153"/>
      <c r="M247" s="161"/>
      <c r="N247" s="161"/>
      <c r="O247" s="19"/>
      <c r="P247" s="161"/>
      <c r="Q247" s="19"/>
      <c r="R247" s="19"/>
      <c r="S247" s="19"/>
      <c r="T247" s="19"/>
      <c r="U247" s="19"/>
      <c r="V247" s="19"/>
    </row>
    <row r="248" spans="1:22">
      <c r="A248" s="18"/>
      <c r="B248" s="32"/>
      <c r="C248" s="32"/>
      <c r="D248" s="32"/>
      <c r="E248" s="32"/>
      <c r="F248" s="32"/>
      <c r="G248" s="19"/>
      <c r="H248" s="19"/>
      <c r="I248" s="19"/>
      <c r="J248" s="19"/>
      <c r="K248" s="38"/>
      <c r="L248" s="38"/>
      <c r="M248" s="161"/>
      <c r="N248" s="161"/>
      <c r="O248" s="19"/>
      <c r="P248" s="161"/>
      <c r="Q248" s="19"/>
      <c r="R248" s="19"/>
      <c r="S248" s="19"/>
      <c r="T248" s="19"/>
      <c r="U248" s="19"/>
      <c r="V248" s="19"/>
    </row>
    <row r="249" spans="1:22">
      <c r="A249" s="18"/>
      <c r="B249" s="32"/>
      <c r="C249" s="32"/>
      <c r="D249" s="32"/>
      <c r="E249" s="32"/>
      <c r="F249" s="32"/>
      <c r="G249" s="19"/>
      <c r="H249" s="19"/>
      <c r="I249" s="19"/>
      <c r="J249" s="19"/>
      <c r="K249" s="19"/>
      <c r="L249" s="19"/>
      <c r="M249" s="161"/>
      <c r="N249" s="161"/>
      <c r="O249" s="19"/>
      <c r="P249" s="161"/>
      <c r="Q249" s="19"/>
      <c r="R249" s="19"/>
      <c r="S249" s="19"/>
      <c r="T249" s="19"/>
      <c r="U249" s="19"/>
      <c r="V249" s="19"/>
    </row>
    <row r="250" spans="1:22">
      <c r="A250" s="18"/>
      <c r="B250" s="32"/>
      <c r="C250" s="32"/>
      <c r="D250" s="32"/>
      <c r="E250" s="32"/>
      <c r="F250" s="32"/>
      <c r="G250" s="19"/>
      <c r="H250" s="19"/>
      <c r="I250" s="19"/>
      <c r="J250" s="19"/>
      <c r="K250" s="19"/>
      <c r="L250" s="19"/>
      <c r="M250" s="161"/>
      <c r="N250" s="161"/>
      <c r="O250" s="19"/>
      <c r="P250" s="161"/>
      <c r="Q250" s="19"/>
      <c r="R250" s="19"/>
      <c r="S250" s="19"/>
      <c r="T250" s="19"/>
      <c r="U250" s="19"/>
      <c r="V250" s="19"/>
    </row>
    <row r="251" spans="1:22">
      <c r="A251" s="18"/>
      <c r="B251" s="19"/>
      <c r="C251" s="19"/>
      <c r="D251" s="19"/>
      <c r="E251" s="19"/>
      <c r="F251" s="19"/>
      <c r="G251" s="19"/>
      <c r="H251" s="19"/>
      <c r="I251" s="19"/>
      <c r="J251" s="19"/>
      <c r="K251" s="19"/>
      <c r="L251" s="19"/>
      <c r="M251" s="161"/>
      <c r="N251" s="161"/>
      <c r="O251" s="19"/>
      <c r="P251" s="161"/>
      <c r="Q251" s="19"/>
      <c r="R251" s="19"/>
      <c r="S251" s="19"/>
      <c r="T251" s="19"/>
      <c r="U251" s="19"/>
      <c r="V251" s="19"/>
    </row>
    <row r="252" spans="1:22">
      <c r="A252" s="18"/>
      <c r="B252" s="19"/>
      <c r="C252" s="19"/>
      <c r="D252" s="19"/>
      <c r="E252" s="19"/>
      <c r="F252" s="19"/>
      <c r="G252" s="19"/>
      <c r="H252" s="19"/>
      <c r="I252" s="19"/>
      <c r="J252" s="19"/>
      <c r="K252" s="19"/>
      <c r="L252" s="19"/>
      <c r="M252" s="161"/>
      <c r="N252" s="161"/>
      <c r="O252" s="19"/>
      <c r="P252" s="161"/>
      <c r="Q252" s="19"/>
      <c r="R252" s="19"/>
      <c r="S252" s="19"/>
      <c r="T252" s="19"/>
      <c r="U252" s="19"/>
      <c r="V252" s="19"/>
    </row>
    <row r="253" spans="1:22">
      <c r="A253" s="18"/>
      <c r="B253" s="19"/>
      <c r="C253" s="19"/>
      <c r="D253" s="19"/>
      <c r="E253" s="19"/>
      <c r="F253" s="19"/>
      <c r="G253" s="19"/>
      <c r="H253" s="19"/>
      <c r="I253" s="19"/>
      <c r="J253" s="19"/>
      <c r="K253" s="19"/>
      <c r="L253" s="19"/>
      <c r="M253" s="161"/>
      <c r="N253" s="161"/>
      <c r="O253" s="19"/>
      <c r="P253" s="161"/>
      <c r="Q253" s="19"/>
      <c r="R253" s="19"/>
      <c r="S253" s="19"/>
      <c r="T253" s="19"/>
      <c r="U253" s="19"/>
      <c r="V253" s="19"/>
    </row>
    <row r="254" spans="1:22">
      <c r="A254" s="18"/>
      <c r="B254" s="19"/>
      <c r="C254" s="19"/>
      <c r="D254" s="19"/>
      <c r="E254" s="19"/>
      <c r="F254" s="19"/>
      <c r="G254" s="19"/>
      <c r="H254" s="19"/>
      <c r="I254" s="19"/>
      <c r="J254" s="19"/>
      <c r="K254" s="19"/>
      <c r="L254" s="19"/>
      <c r="M254" s="161"/>
      <c r="N254" s="161"/>
      <c r="O254" s="19"/>
      <c r="P254" s="161"/>
      <c r="Q254" s="19"/>
      <c r="R254" s="19"/>
      <c r="S254" s="19"/>
      <c r="T254" s="19"/>
      <c r="U254" s="19"/>
      <c r="V254" s="19"/>
    </row>
    <row r="255" spans="1:22">
      <c r="A255" s="18"/>
      <c r="B255" s="19"/>
      <c r="C255" s="19"/>
      <c r="D255" s="19"/>
      <c r="E255" s="19"/>
      <c r="F255" s="19"/>
      <c r="G255" s="19"/>
      <c r="H255" s="19"/>
      <c r="I255" s="19"/>
      <c r="J255" s="19"/>
      <c r="K255" s="19"/>
      <c r="L255" s="19"/>
      <c r="M255" s="161"/>
      <c r="N255" s="161"/>
      <c r="O255" s="19"/>
      <c r="P255" s="161"/>
      <c r="Q255" s="19"/>
      <c r="R255" s="19"/>
      <c r="S255" s="19"/>
      <c r="T255" s="19"/>
      <c r="U255" s="19"/>
      <c r="V255" s="19"/>
    </row>
    <row r="256" spans="1:22">
      <c r="A256" s="18"/>
      <c r="B256" s="19"/>
      <c r="C256" s="19"/>
      <c r="D256" s="19"/>
      <c r="E256" s="19"/>
      <c r="F256" s="19"/>
      <c r="G256" s="19"/>
      <c r="H256" s="19"/>
      <c r="I256" s="19"/>
      <c r="J256" s="19"/>
      <c r="K256" s="19"/>
      <c r="L256" s="19"/>
      <c r="M256" s="161"/>
      <c r="N256" s="161"/>
      <c r="O256" s="19"/>
      <c r="P256" s="161"/>
      <c r="Q256" s="19"/>
      <c r="R256" s="19"/>
      <c r="S256" s="19"/>
      <c r="T256" s="19"/>
      <c r="U256" s="19"/>
      <c r="V256" s="19"/>
    </row>
    <row r="257" spans="1:22">
      <c r="A257" s="18"/>
      <c r="B257" s="19"/>
      <c r="C257" s="19"/>
      <c r="D257" s="19"/>
      <c r="E257" s="19"/>
      <c r="F257" s="19"/>
      <c r="G257" s="19"/>
      <c r="H257" s="19"/>
      <c r="I257" s="19"/>
      <c r="J257" s="19"/>
      <c r="K257" s="19"/>
      <c r="L257" s="19"/>
      <c r="M257" s="161"/>
      <c r="N257" s="161"/>
      <c r="O257" s="19"/>
      <c r="P257" s="161"/>
      <c r="Q257" s="19"/>
      <c r="R257" s="19"/>
      <c r="S257" s="19"/>
      <c r="T257" s="19"/>
      <c r="U257" s="19"/>
      <c r="V257" s="19"/>
    </row>
    <row r="258" spans="1:22">
      <c r="A258" s="18"/>
      <c r="B258" s="19"/>
      <c r="C258" s="19"/>
      <c r="D258" s="19"/>
      <c r="E258" s="19"/>
      <c r="F258" s="19"/>
      <c r="G258" s="19"/>
      <c r="H258" s="19"/>
      <c r="I258" s="19"/>
      <c r="J258" s="19"/>
      <c r="K258" s="19"/>
      <c r="L258" s="19"/>
      <c r="M258" s="161"/>
      <c r="N258" s="161"/>
      <c r="O258" s="19"/>
      <c r="P258" s="161"/>
      <c r="Q258" s="19"/>
      <c r="R258" s="19"/>
      <c r="S258" s="19"/>
      <c r="T258" s="19"/>
      <c r="U258" s="19"/>
      <c r="V258" s="19"/>
    </row>
    <row r="259" spans="1:22">
      <c r="A259" s="18"/>
      <c r="B259" s="19"/>
      <c r="C259" s="19"/>
      <c r="D259" s="19"/>
      <c r="E259" s="19"/>
      <c r="F259" s="19"/>
      <c r="G259" s="19"/>
      <c r="H259" s="19"/>
      <c r="I259" s="19"/>
      <c r="J259" s="19"/>
      <c r="K259" s="19"/>
      <c r="L259" s="19"/>
      <c r="M259" s="161"/>
      <c r="N259" s="161"/>
      <c r="O259" s="19"/>
      <c r="P259" s="161"/>
      <c r="Q259" s="19"/>
      <c r="R259" s="19"/>
      <c r="S259" s="19"/>
      <c r="T259" s="19"/>
      <c r="U259" s="19"/>
      <c r="V259" s="19"/>
    </row>
    <row r="260" spans="1:22">
      <c r="A260" s="18"/>
      <c r="B260" s="19"/>
      <c r="C260" s="19"/>
      <c r="D260" s="19"/>
      <c r="E260" s="19"/>
      <c r="F260" s="19"/>
      <c r="G260" s="19"/>
      <c r="H260" s="19"/>
      <c r="I260" s="19"/>
      <c r="J260" s="19"/>
      <c r="K260" s="19"/>
      <c r="L260" s="19"/>
      <c r="M260" s="161"/>
      <c r="N260" s="161"/>
      <c r="O260" s="19"/>
      <c r="P260" s="161"/>
      <c r="Q260" s="19"/>
      <c r="R260" s="19"/>
      <c r="S260" s="19"/>
      <c r="T260" s="19"/>
      <c r="U260" s="19"/>
      <c r="V260" s="19"/>
    </row>
    <row r="261" spans="1:22">
      <c r="A261" s="18"/>
      <c r="B261" s="19"/>
      <c r="C261" s="19"/>
      <c r="D261" s="19"/>
      <c r="E261" s="19"/>
      <c r="F261" s="19"/>
      <c r="G261" s="19"/>
      <c r="H261" s="19"/>
      <c r="I261" s="19"/>
      <c r="J261" s="19"/>
      <c r="K261" s="19"/>
      <c r="L261" s="19"/>
      <c r="M261" s="161"/>
      <c r="N261" s="161"/>
      <c r="O261" s="19"/>
      <c r="P261" s="161"/>
      <c r="Q261" s="19"/>
      <c r="R261" s="19"/>
      <c r="S261" s="19"/>
      <c r="T261" s="19"/>
      <c r="U261" s="19"/>
      <c r="V261" s="19"/>
    </row>
    <row r="262" spans="1:22">
      <c r="A262" s="18"/>
      <c r="B262" s="19"/>
      <c r="C262" s="19"/>
      <c r="D262" s="19"/>
      <c r="E262" s="19"/>
      <c r="F262" s="19"/>
      <c r="G262" s="19"/>
      <c r="H262" s="19"/>
      <c r="I262" s="19"/>
      <c r="J262" s="19"/>
      <c r="K262" s="19"/>
      <c r="L262" s="19"/>
      <c r="M262" s="161"/>
      <c r="N262" s="161"/>
      <c r="O262" s="19"/>
      <c r="P262" s="161"/>
      <c r="Q262" s="19"/>
      <c r="R262" s="19"/>
      <c r="S262" s="19"/>
      <c r="T262" s="19"/>
      <c r="U262" s="19"/>
      <c r="V262" s="19"/>
    </row>
    <row r="263" spans="1:22">
      <c r="A263" s="18"/>
      <c r="B263" s="19"/>
      <c r="C263" s="19"/>
      <c r="D263" s="19"/>
      <c r="E263" s="19"/>
      <c r="F263" s="19"/>
      <c r="G263" s="19"/>
      <c r="H263" s="19"/>
      <c r="I263" s="19"/>
      <c r="J263" s="19"/>
      <c r="K263" s="19"/>
      <c r="L263" s="19"/>
      <c r="M263" s="161"/>
      <c r="N263" s="161"/>
      <c r="O263" s="19"/>
      <c r="P263" s="161"/>
      <c r="Q263" s="19"/>
      <c r="R263" s="19"/>
      <c r="S263" s="19"/>
      <c r="T263" s="19"/>
      <c r="U263" s="19"/>
      <c r="V263" s="19"/>
    </row>
    <row r="264" spans="1:22" s="18" customFormat="1" ht="12">
      <c r="B264" s="19"/>
      <c r="C264" s="19"/>
      <c r="D264" s="19"/>
      <c r="E264" s="19"/>
      <c r="F264" s="19"/>
      <c r="G264" s="19"/>
      <c r="H264" s="19"/>
      <c r="I264" s="19"/>
      <c r="J264" s="19"/>
      <c r="K264" s="19"/>
      <c r="L264" s="19"/>
      <c r="M264" s="19"/>
      <c r="N264" s="19"/>
      <c r="O264" s="19"/>
      <c r="P264" s="19"/>
      <c r="Q264" s="19"/>
      <c r="R264" s="19"/>
      <c r="S264" s="19"/>
      <c r="T264" s="19"/>
      <c r="U264" s="19"/>
      <c r="V264" s="19"/>
    </row>
    <row r="265" spans="1:22">
      <c r="A265" s="18"/>
      <c r="B265" s="32"/>
      <c r="C265" s="32"/>
      <c r="D265" s="32"/>
      <c r="E265" s="32"/>
      <c r="F265" s="32"/>
      <c r="G265" s="19"/>
      <c r="H265" s="19"/>
      <c r="I265" s="19"/>
      <c r="J265" s="19"/>
      <c r="K265" s="153"/>
      <c r="L265" s="153"/>
      <c r="M265" s="161"/>
      <c r="N265" s="161"/>
      <c r="O265" s="19"/>
      <c r="P265" s="161"/>
      <c r="Q265" s="19"/>
      <c r="R265" s="19"/>
      <c r="S265" s="19"/>
      <c r="T265" s="19"/>
      <c r="U265" s="19"/>
      <c r="V265" s="19"/>
    </row>
    <row r="266" spans="1:22">
      <c r="A266" s="18"/>
      <c r="B266" s="32"/>
      <c r="C266" s="32"/>
      <c r="D266" s="32"/>
      <c r="E266" s="32"/>
      <c r="F266" s="32"/>
      <c r="G266" s="19"/>
      <c r="H266" s="19"/>
      <c r="I266" s="19"/>
      <c r="J266" s="19"/>
      <c r="K266" s="153"/>
      <c r="L266" s="153"/>
      <c r="M266" s="161"/>
      <c r="N266" s="161"/>
      <c r="O266" s="19"/>
      <c r="P266" s="161"/>
      <c r="Q266" s="19"/>
      <c r="R266" s="19"/>
      <c r="S266" s="19"/>
      <c r="T266" s="19"/>
      <c r="U266" s="19"/>
      <c r="V266" s="19"/>
    </row>
    <row r="267" spans="1:22">
      <c r="A267" s="18"/>
      <c r="B267" s="19"/>
      <c r="C267" s="19"/>
      <c r="D267" s="19"/>
      <c r="E267" s="19"/>
      <c r="F267" s="19"/>
      <c r="G267" s="19"/>
      <c r="H267" s="19"/>
      <c r="I267" s="19"/>
      <c r="J267" s="19"/>
      <c r="K267" s="19"/>
      <c r="L267" s="19"/>
      <c r="M267" s="161"/>
      <c r="N267" s="161"/>
      <c r="O267" s="19"/>
      <c r="P267" s="161"/>
      <c r="Q267" s="19"/>
      <c r="R267" s="19"/>
      <c r="S267" s="19"/>
      <c r="T267" s="19"/>
      <c r="U267" s="19"/>
      <c r="V267" s="19"/>
    </row>
    <row r="268" spans="1:22">
      <c r="A268" s="18"/>
      <c r="B268" s="19"/>
      <c r="C268" s="19"/>
      <c r="D268" s="19"/>
      <c r="E268" s="19"/>
      <c r="F268" s="19"/>
      <c r="G268" s="19"/>
      <c r="H268" s="19"/>
      <c r="I268" s="19"/>
      <c r="J268" s="19"/>
      <c r="K268" s="19"/>
      <c r="L268" s="19"/>
      <c r="M268" s="161"/>
      <c r="N268" s="161"/>
      <c r="O268" s="19"/>
      <c r="P268" s="161"/>
      <c r="Q268" s="19"/>
      <c r="R268" s="19"/>
      <c r="S268" s="19"/>
      <c r="T268" s="19"/>
      <c r="U268" s="19"/>
      <c r="V268" s="19"/>
    </row>
    <row r="269" spans="1:22">
      <c r="A269" s="18"/>
      <c r="B269" s="19"/>
      <c r="C269" s="19"/>
      <c r="D269" s="19"/>
      <c r="E269" s="19"/>
      <c r="F269" s="19"/>
      <c r="G269" s="19"/>
      <c r="H269" s="19"/>
      <c r="I269" s="19"/>
      <c r="J269" s="19"/>
      <c r="K269" s="19"/>
      <c r="L269" s="19"/>
      <c r="M269" s="161"/>
      <c r="N269" s="161"/>
      <c r="O269" s="19"/>
      <c r="P269" s="161"/>
      <c r="Q269" s="19"/>
      <c r="R269" s="19"/>
      <c r="S269" s="19"/>
      <c r="T269" s="19"/>
      <c r="U269" s="19"/>
      <c r="V269" s="19"/>
    </row>
    <row r="270" spans="1:22">
      <c r="A270" s="18"/>
      <c r="B270" s="19"/>
      <c r="C270" s="19"/>
      <c r="D270" s="19"/>
      <c r="E270" s="19"/>
      <c r="F270" s="19"/>
      <c r="G270" s="19"/>
      <c r="H270" s="19"/>
      <c r="I270" s="19"/>
      <c r="J270" s="19"/>
      <c r="K270" s="19"/>
      <c r="L270" s="19"/>
      <c r="M270" s="161"/>
      <c r="N270" s="161"/>
      <c r="O270" s="19"/>
      <c r="P270" s="161"/>
      <c r="Q270" s="19"/>
      <c r="R270" s="19"/>
      <c r="S270" s="19"/>
      <c r="T270" s="19"/>
      <c r="U270" s="19"/>
      <c r="V270" s="19"/>
    </row>
    <row r="271" spans="1:22">
      <c r="A271" s="18"/>
      <c r="B271" s="19"/>
      <c r="C271" s="19"/>
      <c r="D271" s="19"/>
      <c r="E271" s="19"/>
      <c r="F271" s="19"/>
      <c r="G271" s="19"/>
      <c r="H271" s="19"/>
      <c r="I271" s="19"/>
      <c r="J271" s="19"/>
      <c r="K271" s="19"/>
      <c r="L271" s="19"/>
      <c r="M271" s="161"/>
      <c r="N271" s="161"/>
      <c r="O271" s="19"/>
      <c r="P271" s="161"/>
      <c r="Q271" s="19"/>
      <c r="R271" s="19"/>
      <c r="S271" s="19"/>
      <c r="T271" s="19"/>
      <c r="U271" s="19"/>
      <c r="V271" s="19"/>
    </row>
    <row r="272" spans="1:22">
      <c r="A272" s="18"/>
      <c r="B272" s="19"/>
      <c r="C272" s="19"/>
      <c r="D272" s="19"/>
      <c r="E272" s="19"/>
      <c r="F272" s="19"/>
      <c r="G272" s="19"/>
      <c r="H272" s="19"/>
      <c r="I272" s="19"/>
      <c r="J272" s="19"/>
      <c r="K272" s="19"/>
      <c r="L272" s="19"/>
      <c r="M272" s="161"/>
      <c r="N272" s="161"/>
      <c r="O272" s="19"/>
      <c r="P272" s="161"/>
      <c r="Q272" s="19"/>
      <c r="R272" s="19"/>
      <c r="S272" s="19"/>
      <c r="T272" s="19"/>
      <c r="U272" s="19"/>
      <c r="V272" s="19"/>
    </row>
    <row r="273" spans="1:22">
      <c r="A273" s="18"/>
      <c r="B273" s="19"/>
      <c r="C273" s="19"/>
      <c r="D273" s="19"/>
      <c r="E273" s="19"/>
      <c r="F273" s="19"/>
      <c r="G273" s="19"/>
      <c r="H273" s="19"/>
      <c r="I273" s="19"/>
      <c r="J273" s="19"/>
      <c r="K273" s="19"/>
      <c r="L273" s="19"/>
      <c r="M273" s="161"/>
      <c r="N273" s="161"/>
      <c r="O273" s="19"/>
      <c r="P273" s="161"/>
      <c r="Q273" s="19"/>
      <c r="R273" s="19"/>
      <c r="S273" s="19"/>
      <c r="T273" s="19"/>
      <c r="U273" s="19"/>
      <c r="V273" s="19"/>
    </row>
    <row r="274" spans="1:22">
      <c r="A274" s="18"/>
      <c r="B274" s="19"/>
      <c r="C274" s="19"/>
      <c r="D274" s="19"/>
      <c r="E274" s="19"/>
      <c r="F274" s="19"/>
      <c r="G274" s="19"/>
      <c r="H274" s="19"/>
      <c r="I274" s="19"/>
      <c r="J274" s="19"/>
      <c r="K274" s="19"/>
      <c r="L274" s="19"/>
      <c r="M274" s="161"/>
      <c r="N274" s="161"/>
      <c r="O274" s="19"/>
      <c r="P274" s="161"/>
      <c r="Q274" s="19"/>
      <c r="R274" s="19"/>
      <c r="S274" s="19"/>
      <c r="T274" s="19"/>
      <c r="U274" s="19"/>
      <c r="V274" s="19"/>
    </row>
    <row r="275" spans="1:22">
      <c r="A275" s="18"/>
      <c r="B275" s="19"/>
      <c r="C275" s="19"/>
      <c r="D275" s="19"/>
      <c r="E275" s="19"/>
      <c r="F275" s="19"/>
      <c r="G275" s="19"/>
      <c r="H275" s="19"/>
      <c r="I275" s="19"/>
      <c r="J275" s="19"/>
      <c r="K275" s="19"/>
      <c r="L275" s="19"/>
      <c r="M275" s="161"/>
      <c r="N275" s="161"/>
      <c r="O275" s="19"/>
      <c r="P275" s="161"/>
      <c r="Q275" s="19"/>
      <c r="R275" s="19"/>
      <c r="S275" s="19"/>
      <c r="T275" s="19"/>
      <c r="U275" s="19"/>
      <c r="V275" s="19"/>
    </row>
    <row r="276" spans="1:22">
      <c r="A276" s="18"/>
      <c r="B276" s="19"/>
      <c r="C276" s="19"/>
      <c r="D276" s="19"/>
      <c r="E276" s="19"/>
      <c r="F276" s="19"/>
      <c r="G276" s="19"/>
      <c r="H276" s="19"/>
      <c r="I276" s="19"/>
      <c r="J276" s="19"/>
      <c r="K276" s="19"/>
      <c r="L276" s="19"/>
      <c r="M276" s="161"/>
      <c r="N276" s="161"/>
      <c r="O276" s="19"/>
      <c r="P276" s="161"/>
      <c r="Q276" s="19"/>
      <c r="R276" s="19"/>
      <c r="S276" s="19"/>
      <c r="T276" s="19"/>
      <c r="U276" s="19"/>
      <c r="V276" s="19"/>
    </row>
    <row r="277" spans="1:22">
      <c r="A277" s="18"/>
      <c r="B277" s="19"/>
      <c r="C277" s="19"/>
      <c r="D277" s="19"/>
      <c r="E277" s="19"/>
      <c r="F277" s="19"/>
      <c r="G277" s="19"/>
      <c r="H277" s="19"/>
      <c r="I277" s="19"/>
      <c r="J277" s="19"/>
      <c r="K277" s="19"/>
      <c r="L277" s="19"/>
      <c r="M277" s="161"/>
      <c r="N277" s="161"/>
      <c r="O277" s="19"/>
      <c r="P277" s="161"/>
      <c r="Q277" s="19"/>
      <c r="R277" s="19"/>
      <c r="S277" s="19"/>
      <c r="T277" s="19"/>
      <c r="U277" s="19"/>
      <c r="V277" s="19"/>
    </row>
    <row r="278" spans="1:22">
      <c r="A278" s="18"/>
      <c r="B278" s="19"/>
      <c r="C278" s="19"/>
      <c r="D278" s="19"/>
      <c r="E278" s="19"/>
      <c r="F278" s="19"/>
      <c r="G278" s="19"/>
      <c r="H278" s="19"/>
      <c r="I278" s="19"/>
      <c r="J278" s="19"/>
      <c r="K278" s="19"/>
      <c r="L278" s="19"/>
      <c r="M278" s="161"/>
      <c r="N278" s="161"/>
      <c r="O278" s="19"/>
      <c r="P278" s="161"/>
      <c r="Q278" s="19"/>
      <c r="R278" s="19"/>
      <c r="S278" s="19"/>
      <c r="T278" s="19"/>
      <c r="U278" s="19"/>
      <c r="V278" s="19"/>
    </row>
    <row r="279" spans="1:22">
      <c r="A279" s="18"/>
      <c r="B279" s="19"/>
      <c r="C279" s="19"/>
      <c r="D279" s="19"/>
      <c r="E279" s="19"/>
      <c r="F279" s="19"/>
      <c r="G279" s="19"/>
      <c r="H279" s="19"/>
      <c r="I279" s="19"/>
      <c r="J279" s="19"/>
      <c r="K279" s="19"/>
      <c r="L279" s="19"/>
      <c r="M279" s="161"/>
      <c r="N279" s="161"/>
      <c r="O279" s="19"/>
      <c r="P279" s="161"/>
      <c r="Q279" s="19"/>
      <c r="R279" s="19"/>
      <c r="S279" s="19"/>
      <c r="T279" s="19"/>
      <c r="U279" s="19"/>
      <c r="V279" s="19"/>
    </row>
    <row r="280" spans="1:22" s="18" customFormat="1" ht="12">
      <c r="B280" s="19"/>
      <c r="C280" s="19"/>
      <c r="D280" s="19"/>
      <c r="E280" s="19"/>
      <c r="F280" s="19"/>
      <c r="G280" s="19"/>
      <c r="H280" s="19"/>
      <c r="I280" s="19"/>
      <c r="J280" s="19"/>
      <c r="K280" s="19"/>
      <c r="L280" s="19"/>
      <c r="M280" s="19"/>
      <c r="N280" s="19"/>
      <c r="O280" s="19"/>
      <c r="P280" s="19"/>
      <c r="Q280" s="19"/>
      <c r="R280" s="19"/>
      <c r="S280" s="19"/>
      <c r="T280" s="19"/>
      <c r="U280" s="19"/>
      <c r="V280" s="19"/>
    </row>
    <row r="281" spans="1:22">
      <c r="B281" s="32"/>
      <c r="C281" s="32"/>
      <c r="D281" s="32"/>
      <c r="E281" s="32"/>
      <c r="F281" s="32"/>
      <c r="G281" s="19"/>
      <c r="H281" s="19"/>
      <c r="I281" s="19"/>
      <c r="J281" s="19"/>
      <c r="K281" s="19"/>
      <c r="L281" s="19"/>
      <c r="M281" s="161"/>
      <c r="N281" s="161"/>
      <c r="O281" s="19"/>
      <c r="P281" s="161"/>
      <c r="Q281" s="19"/>
      <c r="R281" s="19"/>
      <c r="S281" s="19"/>
      <c r="T281" s="19"/>
      <c r="U281" s="19"/>
      <c r="V281" s="19"/>
    </row>
    <row r="282" spans="1:22">
      <c r="B282" s="32"/>
      <c r="C282" s="32"/>
      <c r="D282" s="32"/>
      <c r="E282" s="32"/>
      <c r="F282" s="32"/>
      <c r="G282" s="19"/>
      <c r="H282" s="19"/>
      <c r="I282" s="19"/>
      <c r="J282" s="19"/>
      <c r="K282" s="19"/>
      <c r="L282" s="19"/>
      <c r="M282" s="161"/>
      <c r="N282" s="161"/>
      <c r="O282" s="19"/>
      <c r="P282" s="161"/>
      <c r="Q282" s="19"/>
      <c r="R282" s="19"/>
      <c r="S282" s="19"/>
      <c r="T282" s="19"/>
      <c r="U282" s="19"/>
      <c r="V282" s="19"/>
    </row>
    <row r="283" spans="1:22">
      <c r="B283" s="19"/>
      <c r="C283" s="19"/>
      <c r="D283" s="19"/>
      <c r="E283" s="19"/>
      <c r="F283" s="19"/>
      <c r="G283" s="19"/>
      <c r="H283" s="19"/>
      <c r="I283" s="19"/>
      <c r="J283" s="19"/>
      <c r="K283" s="19"/>
      <c r="L283" s="19"/>
      <c r="M283" s="161"/>
      <c r="N283" s="161"/>
      <c r="O283" s="19"/>
      <c r="P283" s="161"/>
      <c r="Q283" s="19"/>
      <c r="R283" s="19"/>
      <c r="S283" s="19"/>
      <c r="T283" s="19"/>
      <c r="U283" s="19"/>
      <c r="V283" s="19"/>
    </row>
    <row r="284" spans="1:22">
      <c r="B284" s="19"/>
      <c r="C284" s="19"/>
      <c r="D284" s="19"/>
      <c r="E284" s="19"/>
      <c r="F284" s="19"/>
      <c r="G284" s="19"/>
      <c r="H284" s="19"/>
      <c r="I284" s="19"/>
      <c r="J284" s="19"/>
      <c r="K284" s="19"/>
      <c r="L284" s="19"/>
      <c r="M284" s="161"/>
      <c r="N284" s="161"/>
      <c r="O284" s="19"/>
      <c r="P284" s="161"/>
      <c r="Q284" s="19"/>
      <c r="R284" s="19"/>
      <c r="S284" s="19"/>
      <c r="T284" s="19"/>
      <c r="U284" s="19"/>
      <c r="V284" s="19"/>
    </row>
    <row r="285" spans="1:22">
      <c r="B285" s="19"/>
      <c r="C285" s="19"/>
      <c r="D285" s="19"/>
      <c r="E285" s="19"/>
      <c r="F285" s="19"/>
      <c r="G285" s="19"/>
      <c r="H285" s="19"/>
      <c r="I285" s="19"/>
      <c r="J285" s="19"/>
      <c r="K285" s="19"/>
      <c r="L285" s="19"/>
      <c r="M285" s="161"/>
      <c r="N285" s="161"/>
      <c r="O285" s="19"/>
      <c r="P285" s="161"/>
      <c r="Q285" s="19"/>
      <c r="R285" s="19"/>
      <c r="S285" s="19"/>
      <c r="T285" s="19"/>
      <c r="U285" s="19"/>
      <c r="V285" s="19"/>
    </row>
    <row r="286" spans="1:22">
      <c r="B286" s="19"/>
      <c r="C286" s="19"/>
      <c r="D286" s="19"/>
      <c r="E286" s="19"/>
      <c r="F286" s="19"/>
      <c r="G286" s="19"/>
      <c r="H286" s="19"/>
      <c r="I286" s="19"/>
      <c r="J286" s="19"/>
      <c r="K286" s="19"/>
      <c r="L286" s="19"/>
      <c r="M286" s="161"/>
      <c r="N286" s="161"/>
      <c r="O286" s="19"/>
      <c r="P286" s="161"/>
      <c r="Q286" s="19"/>
      <c r="R286" s="19"/>
      <c r="S286" s="19"/>
      <c r="T286" s="19"/>
      <c r="U286" s="19"/>
      <c r="V286" s="19"/>
    </row>
    <row r="287" spans="1:22">
      <c r="B287" s="19"/>
      <c r="C287" s="19"/>
      <c r="D287" s="19"/>
      <c r="E287" s="19"/>
      <c r="F287" s="19"/>
      <c r="G287" s="19"/>
      <c r="H287" s="19"/>
      <c r="I287" s="19"/>
      <c r="J287" s="19"/>
      <c r="K287" s="19"/>
      <c r="L287" s="19"/>
      <c r="M287" s="161"/>
      <c r="N287" s="161"/>
      <c r="O287" s="19"/>
      <c r="P287" s="161"/>
      <c r="Q287" s="19"/>
      <c r="R287" s="19"/>
      <c r="S287" s="19"/>
      <c r="T287" s="19"/>
      <c r="U287" s="19"/>
      <c r="V287" s="19"/>
    </row>
    <row r="288" spans="1:22">
      <c r="B288" s="19"/>
      <c r="C288" s="19"/>
      <c r="D288" s="19"/>
      <c r="E288" s="19"/>
      <c r="F288" s="19"/>
      <c r="G288" s="19"/>
      <c r="H288" s="19"/>
      <c r="I288" s="19"/>
      <c r="J288" s="19"/>
      <c r="K288" s="19"/>
      <c r="L288" s="19"/>
      <c r="M288" s="161"/>
      <c r="N288" s="161"/>
      <c r="O288" s="19"/>
      <c r="P288" s="161"/>
      <c r="Q288" s="19"/>
      <c r="R288" s="19"/>
      <c r="S288" s="19"/>
      <c r="T288" s="19"/>
      <c r="U288" s="19"/>
      <c r="V288" s="19"/>
    </row>
    <row r="289" spans="2:22">
      <c r="B289" s="19"/>
      <c r="C289" s="19"/>
      <c r="D289" s="19"/>
      <c r="E289" s="19"/>
      <c r="F289" s="19"/>
      <c r="G289" s="19"/>
      <c r="H289" s="19"/>
      <c r="I289" s="19"/>
      <c r="J289" s="19"/>
      <c r="K289" s="19"/>
      <c r="L289" s="19"/>
      <c r="M289" s="161"/>
      <c r="N289" s="161"/>
      <c r="O289" s="19"/>
      <c r="P289" s="161"/>
      <c r="Q289" s="19"/>
      <c r="R289" s="19"/>
      <c r="S289" s="19"/>
      <c r="T289" s="19"/>
      <c r="U289" s="19"/>
      <c r="V289" s="19"/>
    </row>
    <row r="290" spans="2:22">
      <c r="B290" s="19"/>
      <c r="C290" s="19"/>
      <c r="D290" s="19"/>
      <c r="E290" s="19"/>
      <c r="F290" s="19"/>
      <c r="G290" s="19"/>
      <c r="H290" s="19"/>
      <c r="I290" s="19"/>
      <c r="J290" s="19"/>
      <c r="K290" s="19"/>
      <c r="L290" s="19"/>
      <c r="M290" s="161"/>
      <c r="N290" s="161"/>
      <c r="O290" s="19"/>
      <c r="P290" s="161"/>
      <c r="Q290" s="19"/>
      <c r="R290" s="19"/>
      <c r="S290" s="19"/>
      <c r="T290" s="19"/>
      <c r="U290" s="19"/>
      <c r="V290" s="19"/>
    </row>
    <row r="291" spans="2:22">
      <c r="B291" s="19"/>
      <c r="C291" s="19"/>
      <c r="D291" s="19"/>
      <c r="E291" s="19"/>
      <c r="F291" s="19"/>
      <c r="G291" s="19"/>
      <c r="H291" s="19"/>
      <c r="I291" s="19"/>
      <c r="J291" s="19"/>
      <c r="K291" s="19"/>
      <c r="L291" s="19"/>
      <c r="M291" s="161"/>
      <c r="N291" s="161"/>
      <c r="O291" s="19"/>
      <c r="P291" s="161"/>
      <c r="Q291" s="19"/>
      <c r="R291" s="19"/>
      <c r="S291" s="19"/>
      <c r="T291" s="19"/>
      <c r="U291" s="19"/>
      <c r="V291" s="19"/>
    </row>
    <row r="292" spans="2:22">
      <c r="B292" s="19"/>
      <c r="C292" s="19"/>
      <c r="D292" s="19"/>
      <c r="E292" s="19"/>
      <c r="F292" s="19"/>
      <c r="G292" s="19"/>
      <c r="H292" s="19"/>
      <c r="I292" s="19"/>
      <c r="J292" s="19"/>
      <c r="K292" s="19"/>
      <c r="L292" s="19"/>
      <c r="M292" s="161"/>
      <c r="N292" s="161"/>
      <c r="O292" s="19"/>
      <c r="P292" s="161"/>
      <c r="Q292" s="19"/>
      <c r="R292" s="19"/>
      <c r="S292" s="19"/>
      <c r="T292" s="19"/>
      <c r="U292" s="19"/>
      <c r="V292" s="19"/>
    </row>
    <row r="293" spans="2:22">
      <c r="B293" s="19"/>
      <c r="C293" s="19"/>
      <c r="D293" s="19"/>
      <c r="E293" s="19"/>
      <c r="F293" s="19"/>
      <c r="G293" s="19"/>
      <c r="H293" s="19"/>
      <c r="I293" s="19"/>
      <c r="J293" s="19"/>
      <c r="K293" s="19"/>
      <c r="L293" s="19"/>
      <c r="M293" s="161"/>
      <c r="N293" s="161"/>
      <c r="O293" s="19"/>
      <c r="P293" s="161"/>
      <c r="Q293" s="19"/>
      <c r="R293" s="19"/>
      <c r="S293" s="19"/>
      <c r="T293" s="19"/>
      <c r="U293" s="19"/>
      <c r="V293" s="19"/>
    </row>
    <row r="294" spans="2:22">
      <c r="B294" s="19"/>
      <c r="C294" s="19"/>
      <c r="D294" s="19"/>
      <c r="E294" s="19"/>
      <c r="F294" s="19"/>
      <c r="G294" s="19"/>
      <c r="H294" s="19"/>
      <c r="I294" s="19"/>
      <c r="J294" s="19"/>
      <c r="K294" s="19"/>
      <c r="L294" s="19"/>
      <c r="M294" s="161"/>
      <c r="N294" s="161"/>
      <c r="O294" s="19"/>
      <c r="P294" s="161"/>
      <c r="Q294" s="19"/>
      <c r="R294" s="19"/>
      <c r="S294" s="19"/>
      <c r="T294" s="19"/>
      <c r="U294" s="19"/>
      <c r="V294" s="19"/>
    </row>
    <row r="295" spans="2:22">
      <c r="B295" s="19"/>
      <c r="C295" s="19"/>
      <c r="D295" s="19"/>
      <c r="E295" s="19"/>
      <c r="F295" s="19"/>
      <c r="G295" s="19"/>
      <c r="H295" s="19"/>
      <c r="I295" s="19"/>
      <c r="J295" s="19"/>
      <c r="K295" s="19"/>
      <c r="L295" s="19"/>
      <c r="M295" s="161"/>
      <c r="N295" s="161"/>
      <c r="O295" s="19"/>
      <c r="P295" s="161"/>
      <c r="Q295" s="19"/>
      <c r="R295" s="19"/>
      <c r="S295" s="19"/>
      <c r="T295" s="19"/>
      <c r="U295" s="19"/>
      <c r="V295" s="19"/>
    </row>
    <row r="296" spans="2:22" s="18" customFormat="1" ht="12">
      <c r="B296" s="19"/>
      <c r="C296" s="19"/>
      <c r="D296" s="19"/>
      <c r="E296" s="19"/>
      <c r="F296" s="19"/>
      <c r="G296" s="19"/>
      <c r="H296" s="19"/>
      <c r="I296" s="19"/>
      <c r="J296" s="19"/>
      <c r="K296" s="19"/>
      <c r="L296" s="19"/>
      <c r="M296" s="19"/>
      <c r="N296" s="19"/>
      <c r="O296" s="19"/>
      <c r="P296" s="19"/>
      <c r="Q296" s="19"/>
      <c r="R296" s="19"/>
      <c r="S296" s="19"/>
      <c r="T296" s="19"/>
      <c r="U296" s="19"/>
      <c r="V296" s="19"/>
    </row>
    <row r="297" spans="2:22">
      <c r="B297" s="32"/>
      <c r="C297" s="32"/>
      <c r="D297" s="32"/>
      <c r="E297" s="32"/>
      <c r="F297" s="32"/>
      <c r="G297" s="19"/>
      <c r="H297" s="19"/>
      <c r="I297" s="19"/>
      <c r="J297" s="19"/>
      <c r="K297" s="160"/>
      <c r="L297" s="160"/>
      <c r="M297" s="161"/>
      <c r="N297" s="161"/>
      <c r="O297" s="19"/>
      <c r="P297" s="161"/>
      <c r="Q297" s="19"/>
      <c r="R297" s="19"/>
      <c r="S297" s="19"/>
      <c r="T297" s="19"/>
      <c r="U297" s="19"/>
      <c r="V297" s="19"/>
    </row>
    <row r="298" spans="2:22">
      <c r="B298" s="32"/>
      <c r="C298" s="32"/>
      <c r="D298" s="32"/>
      <c r="E298" s="32"/>
      <c r="F298" s="32"/>
      <c r="G298" s="19"/>
      <c r="H298" s="19"/>
      <c r="I298" s="19"/>
      <c r="J298" s="19"/>
      <c r="K298" s="19"/>
      <c r="L298" s="19"/>
      <c r="M298" s="161"/>
      <c r="N298" s="161"/>
      <c r="O298" s="19"/>
      <c r="P298" s="161"/>
      <c r="Q298" s="19"/>
      <c r="R298" s="19"/>
      <c r="S298" s="19"/>
      <c r="T298" s="19"/>
      <c r="U298" s="19"/>
      <c r="V298" s="19"/>
    </row>
    <row r="299" spans="2:22">
      <c r="B299" s="19"/>
      <c r="C299" s="19"/>
      <c r="D299" s="19"/>
      <c r="E299" s="19"/>
      <c r="F299" s="19"/>
      <c r="G299" s="19"/>
      <c r="H299" s="19"/>
      <c r="I299" s="19"/>
      <c r="J299" s="19"/>
      <c r="K299" s="19"/>
      <c r="L299" s="19"/>
      <c r="M299" s="161"/>
      <c r="N299" s="161"/>
      <c r="O299" s="19"/>
      <c r="P299" s="161"/>
      <c r="Q299" s="19"/>
      <c r="R299" s="19"/>
      <c r="S299" s="19"/>
      <c r="T299" s="19"/>
      <c r="U299" s="19"/>
      <c r="V299" s="19"/>
    </row>
    <row r="300" spans="2:22">
      <c r="B300" s="19"/>
      <c r="C300" s="19"/>
      <c r="D300" s="19"/>
      <c r="E300" s="19"/>
      <c r="F300" s="19"/>
      <c r="G300" s="19"/>
      <c r="H300" s="19"/>
      <c r="I300" s="19"/>
      <c r="J300" s="19"/>
      <c r="K300" s="38"/>
      <c r="L300" s="19"/>
      <c r="M300" s="161"/>
      <c r="N300" s="161"/>
      <c r="O300" s="19"/>
      <c r="P300" s="161"/>
      <c r="Q300" s="19"/>
      <c r="R300" s="19"/>
      <c r="S300" s="19"/>
      <c r="T300" s="19"/>
      <c r="U300" s="19"/>
      <c r="V300" s="19"/>
    </row>
    <row r="301" spans="2:22">
      <c r="B301" s="19"/>
      <c r="C301" s="19"/>
      <c r="D301" s="19"/>
      <c r="E301" s="19"/>
      <c r="F301" s="19"/>
      <c r="G301" s="19"/>
      <c r="H301" s="19"/>
      <c r="I301" s="19"/>
      <c r="J301" s="19"/>
      <c r="K301" s="19"/>
      <c r="L301" s="19"/>
      <c r="M301" s="161"/>
      <c r="N301" s="161"/>
      <c r="O301" s="19"/>
      <c r="P301" s="161"/>
      <c r="Q301" s="19"/>
      <c r="R301" s="19"/>
      <c r="S301" s="19"/>
      <c r="T301" s="19"/>
      <c r="U301" s="19"/>
      <c r="V301" s="19"/>
    </row>
    <row r="302" spans="2:22">
      <c r="B302" s="19"/>
      <c r="C302" s="19"/>
      <c r="D302" s="19"/>
      <c r="E302" s="19"/>
      <c r="F302" s="19"/>
      <c r="G302" s="19"/>
      <c r="H302" s="19"/>
      <c r="I302" s="19"/>
      <c r="J302" s="19"/>
      <c r="K302" s="19"/>
      <c r="L302" s="19"/>
      <c r="M302" s="161"/>
      <c r="N302" s="161"/>
      <c r="O302" s="19"/>
      <c r="P302" s="161"/>
      <c r="Q302" s="19"/>
      <c r="R302" s="19"/>
      <c r="S302" s="19"/>
      <c r="T302" s="19"/>
      <c r="U302" s="19"/>
      <c r="V302" s="19"/>
    </row>
    <row r="303" spans="2:22">
      <c r="B303" s="19"/>
      <c r="C303" s="19"/>
      <c r="D303" s="19"/>
      <c r="E303" s="19"/>
      <c r="F303" s="19"/>
      <c r="G303" s="19"/>
      <c r="H303" s="19"/>
      <c r="I303" s="19"/>
      <c r="J303" s="19"/>
      <c r="K303" s="19"/>
      <c r="L303" s="19"/>
      <c r="M303" s="161"/>
      <c r="N303" s="161"/>
      <c r="O303" s="19"/>
      <c r="P303" s="161"/>
      <c r="Q303" s="19"/>
      <c r="R303" s="19"/>
      <c r="S303" s="19"/>
      <c r="T303" s="19"/>
      <c r="U303" s="19"/>
      <c r="V303" s="19"/>
    </row>
    <row r="304" spans="2:22">
      <c r="B304" s="19"/>
      <c r="C304" s="19"/>
      <c r="D304" s="19"/>
      <c r="E304" s="19"/>
      <c r="F304" s="19"/>
      <c r="G304" s="19"/>
      <c r="H304" s="19"/>
      <c r="I304" s="19"/>
      <c r="J304" s="19"/>
      <c r="K304" s="19"/>
      <c r="L304" s="19"/>
      <c r="M304" s="161"/>
      <c r="N304" s="161"/>
      <c r="O304" s="19"/>
      <c r="P304" s="161"/>
      <c r="Q304" s="19"/>
      <c r="R304" s="19"/>
      <c r="S304" s="19"/>
      <c r="T304" s="19"/>
      <c r="U304" s="19"/>
      <c r="V304" s="19"/>
    </row>
    <row r="305" spans="2:22">
      <c r="B305" s="19"/>
      <c r="C305" s="19"/>
      <c r="D305" s="19"/>
      <c r="E305" s="19"/>
      <c r="F305" s="19"/>
      <c r="G305" s="19"/>
      <c r="H305" s="19"/>
      <c r="I305" s="19"/>
      <c r="J305" s="19"/>
      <c r="K305" s="19"/>
      <c r="L305" s="19"/>
      <c r="M305" s="161"/>
      <c r="N305" s="161"/>
      <c r="O305" s="19"/>
      <c r="P305" s="161"/>
      <c r="Q305" s="19"/>
      <c r="R305" s="19"/>
      <c r="S305" s="19"/>
      <c r="T305" s="19"/>
      <c r="U305" s="19"/>
      <c r="V305" s="19"/>
    </row>
    <row r="306" spans="2:22">
      <c r="B306" s="19"/>
      <c r="C306" s="19"/>
      <c r="D306" s="19"/>
      <c r="E306" s="19"/>
      <c r="F306" s="19"/>
      <c r="G306" s="19"/>
      <c r="H306" s="19"/>
      <c r="I306" s="19"/>
      <c r="J306" s="19"/>
      <c r="K306" s="19"/>
      <c r="L306" s="19"/>
      <c r="M306" s="161"/>
      <c r="N306" s="161"/>
      <c r="O306" s="19"/>
      <c r="P306" s="161"/>
      <c r="Q306" s="19"/>
      <c r="R306" s="19"/>
      <c r="S306" s="19"/>
      <c r="T306" s="19"/>
      <c r="U306" s="19"/>
      <c r="V306" s="19"/>
    </row>
    <row r="307" spans="2:22">
      <c r="B307" s="19"/>
      <c r="C307" s="19"/>
      <c r="D307" s="19"/>
      <c r="E307" s="19"/>
      <c r="F307" s="19"/>
      <c r="G307" s="19"/>
      <c r="H307" s="19"/>
      <c r="I307" s="19"/>
      <c r="J307" s="19"/>
      <c r="K307" s="19"/>
      <c r="L307" s="19"/>
      <c r="M307" s="161"/>
      <c r="N307" s="161"/>
      <c r="O307" s="19"/>
      <c r="P307" s="161"/>
      <c r="Q307" s="19"/>
      <c r="R307" s="19"/>
      <c r="S307" s="19"/>
      <c r="T307" s="19"/>
      <c r="U307" s="19"/>
      <c r="V307" s="19"/>
    </row>
    <row r="308" spans="2:22">
      <c r="B308" s="19"/>
      <c r="C308" s="19"/>
      <c r="D308" s="19"/>
      <c r="E308" s="19"/>
      <c r="F308" s="19"/>
      <c r="G308" s="19"/>
      <c r="H308" s="19"/>
      <c r="I308" s="19"/>
      <c r="J308" s="19"/>
      <c r="K308" s="19"/>
      <c r="L308" s="19"/>
      <c r="M308" s="161"/>
      <c r="N308" s="161"/>
      <c r="O308" s="19"/>
      <c r="P308" s="161"/>
      <c r="Q308" s="19"/>
      <c r="R308" s="19"/>
      <c r="S308" s="19"/>
      <c r="T308" s="19"/>
      <c r="U308" s="19"/>
      <c r="V308" s="19"/>
    </row>
    <row r="309" spans="2:22">
      <c r="B309" s="19"/>
      <c r="C309" s="19"/>
      <c r="D309" s="19"/>
      <c r="E309" s="19"/>
      <c r="F309" s="19"/>
      <c r="G309" s="19"/>
      <c r="H309" s="19"/>
      <c r="I309" s="19"/>
      <c r="J309" s="19"/>
      <c r="K309" s="19"/>
      <c r="L309" s="19"/>
      <c r="M309" s="161"/>
      <c r="N309" s="161"/>
      <c r="O309" s="19"/>
      <c r="P309" s="161"/>
      <c r="Q309" s="19"/>
      <c r="R309" s="19"/>
      <c r="S309" s="19"/>
      <c r="T309" s="19"/>
      <c r="U309" s="19"/>
      <c r="V309" s="19"/>
    </row>
    <row r="310" spans="2:22">
      <c r="B310" s="19"/>
      <c r="C310" s="19"/>
      <c r="D310" s="19"/>
      <c r="E310" s="19"/>
      <c r="F310" s="19"/>
      <c r="G310" s="19"/>
      <c r="H310" s="19"/>
      <c r="I310" s="19"/>
      <c r="J310" s="19"/>
      <c r="K310" s="19"/>
      <c r="L310" s="19"/>
      <c r="M310" s="161"/>
      <c r="N310" s="161"/>
      <c r="O310" s="19"/>
      <c r="P310" s="161"/>
      <c r="Q310" s="19"/>
      <c r="R310" s="19"/>
      <c r="S310" s="19"/>
      <c r="T310" s="19"/>
      <c r="U310" s="19"/>
      <c r="V310" s="19"/>
    </row>
    <row r="311" spans="2:22">
      <c r="B311" s="19"/>
      <c r="C311" s="19"/>
      <c r="D311" s="19"/>
      <c r="E311" s="19"/>
      <c r="F311" s="19"/>
      <c r="G311" s="19"/>
      <c r="H311" s="19"/>
      <c r="I311" s="19"/>
      <c r="J311" s="19"/>
      <c r="K311" s="19"/>
      <c r="L311" s="19"/>
      <c r="M311" s="161"/>
      <c r="N311" s="161"/>
      <c r="O311" s="19"/>
      <c r="P311" s="161"/>
      <c r="Q311" s="19"/>
      <c r="R311" s="19"/>
      <c r="S311" s="19"/>
      <c r="T311" s="19"/>
      <c r="U311" s="19"/>
      <c r="V311" s="19"/>
    </row>
    <row r="312" spans="2:22">
      <c r="B312" s="19"/>
      <c r="C312" s="19"/>
      <c r="D312" s="19"/>
      <c r="E312" s="19"/>
      <c r="F312" s="19"/>
      <c r="G312" s="19"/>
      <c r="H312" s="19"/>
      <c r="I312" s="19"/>
      <c r="J312" s="19"/>
      <c r="K312" s="19"/>
      <c r="L312" s="19"/>
      <c r="M312" s="161"/>
      <c r="N312" s="161"/>
      <c r="O312" s="19"/>
      <c r="P312" s="161"/>
      <c r="Q312" s="19"/>
      <c r="R312" s="19"/>
      <c r="S312" s="19"/>
      <c r="T312" s="19"/>
      <c r="U312" s="19"/>
      <c r="V312" s="19"/>
    </row>
    <row r="313" spans="2:22">
      <c r="B313" s="19"/>
      <c r="C313" s="19"/>
      <c r="D313" s="19"/>
      <c r="E313" s="19"/>
      <c r="F313" s="19"/>
      <c r="G313" s="19"/>
      <c r="H313" s="19"/>
      <c r="I313" s="19"/>
      <c r="J313" s="19"/>
      <c r="K313" s="19"/>
      <c r="L313" s="19"/>
      <c r="M313" s="161"/>
      <c r="N313" s="161"/>
      <c r="O313" s="19"/>
      <c r="P313" s="161"/>
      <c r="Q313" s="19"/>
      <c r="R313" s="19"/>
      <c r="S313" s="19"/>
      <c r="T313" s="19"/>
      <c r="U313" s="19"/>
      <c r="V313" s="19"/>
    </row>
    <row r="314" spans="2:22">
      <c r="B314" s="19"/>
      <c r="C314" s="19"/>
      <c r="D314" s="19"/>
      <c r="E314" s="19"/>
      <c r="F314" s="19"/>
      <c r="G314" s="19"/>
      <c r="H314" s="19"/>
      <c r="I314" s="19"/>
      <c r="J314" s="19"/>
      <c r="K314" s="19"/>
      <c r="L314" s="19"/>
      <c r="M314" s="161"/>
      <c r="N314" s="161"/>
      <c r="O314" s="19"/>
      <c r="P314" s="161"/>
      <c r="Q314" s="19"/>
      <c r="R314" s="19"/>
      <c r="S314" s="19"/>
      <c r="T314" s="19"/>
      <c r="U314" s="19"/>
      <c r="V314" s="19"/>
    </row>
    <row r="315" spans="2:22">
      <c r="B315" s="19"/>
      <c r="C315" s="19"/>
      <c r="D315" s="19"/>
      <c r="E315" s="19"/>
      <c r="F315" s="19"/>
      <c r="G315" s="19"/>
      <c r="H315" s="19"/>
      <c r="I315" s="19"/>
      <c r="J315" s="19"/>
      <c r="K315" s="19"/>
      <c r="L315" s="19"/>
      <c r="M315" s="161"/>
      <c r="N315" s="161"/>
      <c r="O315" s="19"/>
      <c r="P315" s="161"/>
      <c r="Q315" s="19"/>
      <c r="R315" s="19"/>
      <c r="S315" s="19"/>
      <c r="T315" s="19"/>
      <c r="U315" s="19"/>
      <c r="V315" s="19"/>
    </row>
    <row r="316" spans="2:22">
      <c r="B316" s="19"/>
      <c r="C316" s="19"/>
      <c r="D316" s="19"/>
      <c r="E316" s="19"/>
      <c r="F316" s="19"/>
      <c r="G316" s="19"/>
      <c r="H316" s="19"/>
      <c r="I316" s="19"/>
      <c r="J316" s="19"/>
      <c r="K316" s="19"/>
      <c r="L316" s="19"/>
      <c r="M316" s="161"/>
      <c r="N316" s="161"/>
      <c r="O316" s="19"/>
      <c r="P316" s="161"/>
      <c r="Q316" s="19"/>
      <c r="R316" s="19"/>
      <c r="S316" s="19"/>
      <c r="T316" s="19"/>
      <c r="U316" s="19"/>
      <c r="V316" s="19"/>
    </row>
    <row r="317" spans="2:22">
      <c r="B317" s="19"/>
      <c r="C317" s="19"/>
      <c r="D317" s="19"/>
      <c r="E317" s="19"/>
      <c r="F317" s="19"/>
      <c r="G317" s="19"/>
      <c r="H317" s="19"/>
      <c r="I317" s="19"/>
      <c r="J317" s="19"/>
      <c r="K317" s="19"/>
      <c r="L317" s="19"/>
      <c r="M317" s="161"/>
      <c r="N317" s="161"/>
      <c r="O317" s="19"/>
      <c r="P317" s="161"/>
      <c r="Q317" s="19"/>
      <c r="R317" s="19"/>
      <c r="S317" s="19"/>
      <c r="T317" s="19"/>
      <c r="U317" s="19"/>
      <c r="V317" s="19"/>
    </row>
    <row r="318" spans="2:22">
      <c r="B318" s="19"/>
      <c r="C318" s="19"/>
      <c r="D318" s="19"/>
      <c r="E318" s="19"/>
      <c r="F318" s="19"/>
      <c r="G318" s="19"/>
      <c r="H318" s="19"/>
      <c r="I318" s="19"/>
      <c r="J318" s="19"/>
      <c r="K318" s="19"/>
      <c r="L318" s="19"/>
      <c r="M318" s="161"/>
      <c r="N318" s="161"/>
      <c r="O318" s="19"/>
      <c r="P318" s="161"/>
      <c r="Q318" s="19"/>
      <c r="R318" s="19"/>
      <c r="S318" s="19"/>
      <c r="T318" s="19"/>
      <c r="U318" s="19"/>
      <c r="V318" s="19"/>
    </row>
    <row r="319" spans="2:22">
      <c r="B319" s="19"/>
      <c r="C319" s="19"/>
      <c r="D319" s="19"/>
      <c r="E319" s="19"/>
      <c r="F319" s="19"/>
      <c r="G319" s="19"/>
      <c r="H319" s="19"/>
      <c r="I319" s="19"/>
      <c r="J319" s="19"/>
      <c r="K319" s="19"/>
      <c r="L319" s="19"/>
      <c r="M319" s="161"/>
      <c r="N319" s="161"/>
      <c r="O319" s="19"/>
      <c r="P319" s="161"/>
      <c r="Q319" s="19"/>
      <c r="R319" s="19"/>
      <c r="S319" s="19"/>
      <c r="T319" s="19"/>
      <c r="U319" s="19"/>
      <c r="V319" s="19"/>
    </row>
    <row r="320" spans="2:22" s="18" customFormat="1" ht="12">
      <c r="B320" s="19"/>
      <c r="C320" s="19"/>
      <c r="D320" s="19"/>
      <c r="E320" s="19"/>
      <c r="F320" s="19"/>
      <c r="G320" s="19"/>
      <c r="H320" s="19"/>
      <c r="I320" s="19"/>
      <c r="J320" s="19"/>
      <c r="K320" s="19"/>
      <c r="L320" s="19"/>
      <c r="M320" s="19"/>
      <c r="N320" s="19"/>
      <c r="O320" s="19"/>
      <c r="P320" s="19"/>
      <c r="Q320" s="19"/>
      <c r="R320" s="19"/>
      <c r="S320" s="19"/>
      <c r="T320" s="19"/>
      <c r="U320" s="19"/>
      <c r="V320" s="19"/>
    </row>
    <row r="321" spans="2:22">
      <c r="B321" s="19"/>
      <c r="C321" s="19"/>
      <c r="D321" s="19"/>
      <c r="E321" s="19"/>
      <c r="F321" s="19"/>
      <c r="G321" s="19"/>
      <c r="H321" s="19"/>
      <c r="I321" s="19"/>
      <c r="J321" s="19"/>
      <c r="K321" s="19"/>
      <c r="L321" s="19"/>
      <c r="M321" s="161"/>
      <c r="N321" s="161"/>
      <c r="O321" s="19"/>
      <c r="P321" s="161"/>
      <c r="Q321" s="19"/>
      <c r="R321" s="19"/>
      <c r="S321" s="19"/>
      <c r="T321" s="19"/>
      <c r="U321" s="19"/>
      <c r="V321" s="19"/>
    </row>
    <row r="322" spans="2:22">
      <c r="B322" s="19"/>
      <c r="C322" s="19"/>
      <c r="D322" s="19"/>
      <c r="E322" s="19"/>
      <c r="F322" s="19"/>
      <c r="G322" s="19"/>
      <c r="H322" s="19"/>
      <c r="I322" s="19"/>
      <c r="J322" s="19"/>
      <c r="K322" s="33"/>
      <c r="L322" s="33"/>
      <c r="M322" s="161"/>
      <c r="N322" s="161"/>
      <c r="O322" s="19"/>
      <c r="P322" s="161"/>
      <c r="Q322" s="19"/>
      <c r="R322" s="19"/>
      <c r="S322" s="19"/>
      <c r="T322" s="19"/>
      <c r="U322" s="19"/>
      <c r="V322" s="19"/>
    </row>
    <row r="323" spans="2:22">
      <c r="B323" s="19"/>
      <c r="C323" s="19"/>
      <c r="D323" s="19"/>
      <c r="E323" s="19"/>
      <c r="F323" s="19"/>
      <c r="G323" s="19"/>
      <c r="H323" s="19"/>
      <c r="I323" s="19"/>
      <c r="J323" s="19"/>
      <c r="K323" s="19"/>
      <c r="L323" s="19"/>
      <c r="M323" s="161"/>
      <c r="N323" s="161"/>
      <c r="O323" s="19"/>
      <c r="P323" s="161"/>
      <c r="Q323" s="19"/>
      <c r="R323" s="19"/>
      <c r="S323" s="19"/>
      <c r="T323" s="19"/>
      <c r="U323" s="19"/>
      <c r="V323" s="19"/>
    </row>
    <row r="324" spans="2:22">
      <c r="B324" s="19"/>
      <c r="C324" s="19"/>
      <c r="D324" s="19"/>
      <c r="E324" s="19"/>
      <c r="F324" s="19"/>
      <c r="G324" s="19"/>
      <c r="H324" s="19"/>
      <c r="I324" s="19"/>
      <c r="J324" s="19"/>
      <c r="K324" s="19"/>
      <c r="L324" s="19"/>
      <c r="M324" s="161"/>
      <c r="N324" s="161"/>
      <c r="O324" s="19"/>
      <c r="P324" s="161"/>
      <c r="Q324" s="19"/>
      <c r="R324" s="19"/>
      <c r="S324" s="19"/>
      <c r="T324" s="19"/>
      <c r="U324" s="19"/>
      <c r="V324" s="19"/>
    </row>
    <row r="325" spans="2:22">
      <c r="B325" s="19"/>
      <c r="C325" s="19"/>
      <c r="D325" s="19"/>
      <c r="E325" s="19"/>
      <c r="F325" s="19"/>
      <c r="G325" s="19"/>
      <c r="H325" s="19"/>
      <c r="I325" s="19"/>
      <c r="J325" s="19"/>
      <c r="K325" s="19"/>
      <c r="L325" s="19"/>
      <c r="M325" s="161"/>
      <c r="N325" s="161"/>
      <c r="O325" s="19"/>
      <c r="P325" s="161"/>
      <c r="Q325" s="19"/>
      <c r="R325" s="19"/>
      <c r="S325" s="19"/>
      <c r="T325" s="19"/>
      <c r="U325" s="19"/>
      <c r="V325" s="19"/>
    </row>
    <row r="326" spans="2:22">
      <c r="B326" s="19"/>
      <c r="C326" s="19"/>
      <c r="D326" s="19"/>
      <c r="E326" s="19"/>
      <c r="F326" s="19"/>
      <c r="G326" s="19"/>
      <c r="H326" s="19"/>
      <c r="I326" s="19"/>
      <c r="J326" s="19"/>
      <c r="K326" s="19"/>
      <c r="L326" s="19"/>
      <c r="M326" s="161"/>
      <c r="N326" s="161"/>
      <c r="O326" s="19"/>
      <c r="P326" s="161"/>
      <c r="Q326" s="19"/>
      <c r="R326" s="19"/>
      <c r="S326" s="19"/>
      <c r="T326" s="19"/>
      <c r="U326" s="19"/>
      <c r="V326" s="19"/>
    </row>
    <row r="327" spans="2:22">
      <c r="B327" s="19"/>
      <c r="C327" s="19"/>
      <c r="D327" s="19"/>
      <c r="E327" s="19"/>
      <c r="F327" s="19"/>
      <c r="G327" s="19"/>
      <c r="H327" s="19"/>
      <c r="I327" s="19"/>
      <c r="J327" s="19"/>
      <c r="K327" s="19"/>
      <c r="L327" s="19"/>
      <c r="M327" s="161"/>
      <c r="N327" s="161"/>
      <c r="O327" s="19"/>
      <c r="P327" s="161"/>
      <c r="Q327" s="19"/>
      <c r="R327" s="19"/>
      <c r="S327" s="19"/>
      <c r="T327" s="19"/>
      <c r="U327" s="19"/>
      <c r="V327" s="19"/>
    </row>
    <row r="328" spans="2:22">
      <c r="B328" s="19"/>
      <c r="C328" s="19"/>
      <c r="D328" s="19"/>
      <c r="E328" s="19"/>
      <c r="F328" s="19"/>
      <c r="G328" s="19"/>
      <c r="H328" s="19"/>
      <c r="I328" s="19"/>
      <c r="J328" s="19"/>
      <c r="K328" s="19"/>
      <c r="L328" s="19"/>
      <c r="M328" s="161"/>
      <c r="N328" s="161"/>
      <c r="O328" s="19"/>
      <c r="P328" s="161"/>
      <c r="Q328" s="19"/>
      <c r="R328" s="19"/>
      <c r="S328" s="19"/>
      <c r="T328" s="19"/>
      <c r="U328" s="19"/>
      <c r="V328" s="19"/>
    </row>
    <row r="329" spans="2:22">
      <c r="B329" s="19"/>
      <c r="C329" s="19"/>
      <c r="D329" s="19"/>
      <c r="E329" s="19"/>
      <c r="F329" s="19"/>
      <c r="G329" s="19"/>
      <c r="H329" s="19"/>
      <c r="I329" s="19"/>
      <c r="J329" s="19"/>
      <c r="K329" s="19"/>
      <c r="L329" s="19"/>
      <c r="M329" s="161"/>
      <c r="N329" s="161"/>
      <c r="O329" s="19"/>
      <c r="P329" s="161"/>
      <c r="Q329" s="19"/>
      <c r="R329" s="19"/>
      <c r="S329" s="19"/>
      <c r="T329" s="19"/>
      <c r="U329" s="19"/>
      <c r="V329" s="19"/>
    </row>
    <row r="330" spans="2:22">
      <c r="B330" s="19"/>
      <c r="C330" s="19"/>
      <c r="D330" s="19"/>
      <c r="E330" s="19"/>
      <c r="F330" s="19"/>
      <c r="G330" s="19"/>
      <c r="H330" s="19"/>
      <c r="I330" s="19"/>
      <c r="J330" s="19"/>
      <c r="K330" s="19"/>
      <c r="L330" s="19"/>
      <c r="M330" s="161"/>
      <c r="N330" s="161"/>
      <c r="O330" s="19"/>
      <c r="P330" s="161"/>
      <c r="Q330" s="19"/>
      <c r="R330" s="19"/>
      <c r="S330" s="19"/>
      <c r="T330" s="19"/>
      <c r="U330" s="19"/>
      <c r="V330" s="19"/>
    </row>
    <row r="331" spans="2:22">
      <c r="B331" s="19"/>
      <c r="C331" s="19"/>
      <c r="D331" s="19"/>
      <c r="E331" s="19"/>
      <c r="F331" s="19"/>
      <c r="G331" s="19"/>
      <c r="H331" s="19"/>
      <c r="I331" s="19"/>
      <c r="J331" s="19"/>
      <c r="K331" s="19"/>
      <c r="L331" s="19"/>
      <c r="M331" s="161"/>
      <c r="N331" s="161"/>
      <c r="O331" s="19"/>
      <c r="P331" s="161"/>
      <c r="Q331" s="19"/>
      <c r="R331" s="19"/>
      <c r="S331" s="19"/>
      <c r="T331" s="19"/>
      <c r="U331" s="19"/>
      <c r="V331" s="19"/>
    </row>
    <row r="332" spans="2:22">
      <c r="B332" s="19"/>
      <c r="C332" s="19"/>
      <c r="D332" s="19"/>
      <c r="E332" s="19"/>
      <c r="F332" s="19"/>
      <c r="G332" s="19"/>
      <c r="H332" s="19"/>
      <c r="I332" s="19"/>
      <c r="J332" s="19"/>
      <c r="K332" s="19"/>
      <c r="L332" s="19"/>
      <c r="M332" s="161"/>
      <c r="N332" s="161"/>
      <c r="O332" s="19"/>
      <c r="P332" s="161"/>
      <c r="Q332" s="19"/>
      <c r="R332" s="19"/>
      <c r="S332" s="19"/>
      <c r="T332" s="19"/>
      <c r="U332" s="19"/>
      <c r="V332" s="19"/>
    </row>
    <row r="333" spans="2:22">
      <c r="B333" s="19"/>
      <c r="C333" s="19"/>
      <c r="D333" s="19"/>
      <c r="E333" s="19"/>
      <c r="F333" s="19"/>
      <c r="G333" s="19"/>
      <c r="H333" s="19"/>
      <c r="I333" s="19"/>
      <c r="J333" s="19"/>
      <c r="K333" s="19"/>
      <c r="L333" s="19"/>
      <c r="M333" s="161"/>
      <c r="N333" s="161"/>
      <c r="O333" s="19"/>
      <c r="P333" s="161"/>
      <c r="Q333" s="19"/>
      <c r="R333" s="19"/>
      <c r="S333" s="19"/>
      <c r="T333" s="19"/>
      <c r="U333" s="19"/>
      <c r="V333" s="19"/>
    </row>
    <row r="334" spans="2:22">
      <c r="B334" s="19"/>
      <c r="C334" s="19"/>
      <c r="D334" s="19"/>
      <c r="E334" s="19"/>
      <c r="F334" s="19"/>
      <c r="G334" s="19"/>
      <c r="H334" s="19"/>
      <c r="I334" s="19"/>
      <c r="J334" s="19"/>
      <c r="K334" s="19"/>
      <c r="L334" s="19"/>
      <c r="M334" s="161"/>
      <c r="N334" s="161"/>
      <c r="O334" s="19"/>
      <c r="P334" s="161"/>
      <c r="Q334" s="19"/>
      <c r="R334" s="19"/>
      <c r="S334" s="19"/>
      <c r="T334" s="19"/>
      <c r="U334" s="19"/>
      <c r="V334" s="19"/>
    </row>
    <row r="335" spans="2:22">
      <c r="B335" s="19"/>
      <c r="C335" s="19"/>
      <c r="D335" s="19"/>
      <c r="E335" s="19"/>
      <c r="F335" s="19"/>
      <c r="G335" s="19"/>
      <c r="H335" s="19"/>
      <c r="I335" s="19"/>
      <c r="J335" s="19"/>
      <c r="K335" s="19"/>
      <c r="L335" s="19"/>
      <c r="M335" s="161"/>
      <c r="N335" s="161"/>
      <c r="O335" s="19"/>
      <c r="P335" s="161"/>
      <c r="Q335" s="19"/>
      <c r="R335" s="19"/>
      <c r="S335" s="19"/>
      <c r="T335" s="19"/>
      <c r="U335" s="19"/>
      <c r="V335" s="19"/>
    </row>
    <row r="336" spans="2:22">
      <c r="B336" s="19"/>
      <c r="C336" s="19"/>
      <c r="D336" s="19"/>
      <c r="E336" s="19"/>
      <c r="F336" s="19"/>
      <c r="G336" s="19"/>
      <c r="H336" s="19"/>
      <c r="I336" s="19"/>
      <c r="J336" s="19"/>
      <c r="K336" s="19"/>
      <c r="L336" s="19"/>
      <c r="M336" s="161"/>
      <c r="N336" s="161"/>
      <c r="O336" s="19"/>
      <c r="P336" s="161"/>
      <c r="Q336" s="19"/>
      <c r="R336" s="19"/>
      <c r="S336" s="19"/>
      <c r="T336" s="19"/>
      <c r="U336" s="19"/>
      <c r="V336" s="19"/>
    </row>
    <row r="337" spans="2:22">
      <c r="B337" s="19"/>
      <c r="C337" s="19"/>
      <c r="D337" s="19"/>
      <c r="E337" s="19"/>
      <c r="F337" s="19"/>
      <c r="G337" s="19"/>
      <c r="H337" s="19"/>
      <c r="I337" s="19"/>
      <c r="J337" s="19"/>
      <c r="K337" s="19"/>
      <c r="L337" s="19"/>
      <c r="M337" s="161"/>
      <c r="N337" s="161"/>
      <c r="O337" s="19"/>
      <c r="P337" s="161"/>
      <c r="Q337" s="19"/>
      <c r="R337" s="19"/>
      <c r="S337" s="19"/>
      <c r="T337" s="19"/>
      <c r="U337" s="19"/>
      <c r="V337" s="19"/>
    </row>
    <row r="338" spans="2:22" s="18" customFormat="1" ht="12">
      <c r="B338" s="19"/>
      <c r="C338" s="19"/>
      <c r="D338" s="19"/>
      <c r="E338" s="19"/>
      <c r="F338" s="19"/>
      <c r="G338" s="19"/>
      <c r="H338" s="19"/>
      <c r="I338" s="19"/>
      <c r="J338" s="19"/>
      <c r="K338" s="19"/>
      <c r="L338" s="19"/>
      <c r="M338" s="19"/>
      <c r="N338" s="19"/>
      <c r="O338" s="19"/>
      <c r="P338" s="19"/>
      <c r="Q338" s="19"/>
      <c r="R338" s="19"/>
      <c r="S338" s="19"/>
      <c r="T338" s="19"/>
      <c r="U338" s="19"/>
      <c r="V338" s="19"/>
    </row>
    <row r="339" spans="2:22">
      <c r="B339" s="19"/>
      <c r="C339" s="19"/>
      <c r="D339" s="19"/>
      <c r="E339" s="19"/>
      <c r="F339" s="19"/>
      <c r="G339" s="19"/>
      <c r="H339" s="19"/>
      <c r="I339" s="19"/>
      <c r="J339" s="19"/>
      <c r="K339" s="19"/>
      <c r="L339" s="19"/>
      <c r="M339" s="161"/>
      <c r="N339" s="161"/>
      <c r="O339" s="19"/>
      <c r="P339" s="161"/>
      <c r="Q339" s="19"/>
      <c r="R339" s="19"/>
      <c r="S339" s="19"/>
      <c r="T339" s="19"/>
      <c r="U339" s="19"/>
      <c r="V339" s="19"/>
    </row>
    <row r="340" spans="2:22">
      <c r="B340" s="19"/>
      <c r="C340" s="19"/>
      <c r="D340" s="19"/>
      <c r="E340" s="19"/>
      <c r="F340" s="19"/>
      <c r="G340" s="19"/>
      <c r="H340" s="19"/>
      <c r="I340" s="19"/>
      <c r="J340" s="19"/>
      <c r="K340" s="19"/>
      <c r="L340" s="19"/>
      <c r="M340" s="161"/>
      <c r="N340" s="161"/>
      <c r="O340" s="19"/>
      <c r="P340" s="161"/>
      <c r="Q340" s="19"/>
      <c r="R340" s="19"/>
      <c r="S340" s="19"/>
      <c r="T340" s="19"/>
      <c r="U340" s="19"/>
      <c r="V340" s="19"/>
    </row>
    <row r="341" spans="2:22">
      <c r="B341" s="19"/>
      <c r="C341" s="19"/>
      <c r="D341" s="19"/>
      <c r="E341" s="19"/>
      <c r="F341" s="19"/>
      <c r="G341" s="19"/>
      <c r="H341" s="19"/>
      <c r="I341" s="19"/>
      <c r="J341" s="19"/>
      <c r="K341" s="19"/>
      <c r="L341" s="19"/>
      <c r="M341" s="161"/>
      <c r="N341" s="161"/>
      <c r="O341" s="19"/>
      <c r="P341" s="161"/>
      <c r="Q341" s="19"/>
      <c r="R341" s="19"/>
      <c r="S341" s="19"/>
      <c r="T341" s="19"/>
      <c r="U341" s="19"/>
      <c r="V341" s="19"/>
    </row>
    <row r="342" spans="2:22">
      <c r="B342" s="19"/>
      <c r="C342" s="19"/>
      <c r="D342" s="19"/>
      <c r="E342" s="19"/>
      <c r="F342" s="19"/>
      <c r="G342" s="19"/>
      <c r="H342" s="19"/>
      <c r="I342" s="19"/>
      <c r="J342" s="19"/>
      <c r="K342" s="19"/>
      <c r="L342" s="19"/>
      <c r="M342" s="161"/>
      <c r="N342" s="161"/>
      <c r="O342" s="19"/>
      <c r="P342" s="161"/>
      <c r="Q342" s="19"/>
      <c r="R342" s="19"/>
      <c r="S342" s="19"/>
      <c r="T342" s="19"/>
      <c r="U342" s="19"/>
      <c r="V342" s="19"/>
    </row>
    <row r="343" spans="2:22">
      <c r="B343" s="19"/>
      <c r="C343" s="19"/>
      <c r="D343" s="19"/>
      <c r="E343" s="19"/>
      <c r="F343" s="19"/>
      <c r="G343" s="19"/>
      <c r="H343" s="19"/>
      <c r="I343" s="19"/>
      <c r="J343" s="19"/>
      <c r="K343" s="19"/>
      <c r="L343" s="19"/>
      <c r="M343" s="161"/>
      <c r="N343" s="161"/>
      <c r="O343" s="19"/>
      <c r="P343" s="161"/>
      <c r="Q343" s="19"/>
      <c r="R343" s="19"/>
      <c r="S343" s="19"/>
      <c r="T343" s="19"/>
      <c r="U343" s="19"/>
      <c r="V343" s="19"/>
    </row>
    <row r="344" spans="2:22">
      <c r="B344" s="19"/>
      <c r="C344" s="19"/>
      <c r="D344" s="19"/>
      <c r="E344" s="19"/>
      <c r="F344" s="19"/>
      <c r="G344" s="19"/>
      <c r="H344" s="19"/>
      <c r="I344" s="19"/>
      <c r="J344" s="19"/>
      <c r="K344" s="19"/>
      <c r="L344" s="19"/>
      <c r="M344" s="161"/>
      <c r="N344" s="161"/>
      <c r="O344" s="19"/>
      <c r="P344" s="161"/>
      <c r="Q344" s="19"/>
      <c r="R344" s="19"/>
      <c r="S344" s="19"/>
      <c r="T344" s="19"/>
      <c r="U344" s="19"/>
      <c r="V344" s="19"/>
    </row>
    <row r="345" spans="2:22">
      <c r="B345" s="19"/>
      <c r="C345" s="19"/>
      <c r="D345" s="19"/>
      <c r="E345" s="19"/>
      <c r="F345" s="19"/>
      <c r="G345" s="19"/>
      <c r="H345" s="19"/>
      <c r="I345" s="19"/>
      <c r="J345" s="19"/>
      <c r="K345" s="19"/>
      <c r="L345" s="19"/>
      <c r="M345" s="161"/>
      <c r="N345" s="161"/>
      <c r="O345" s="19"/>
      <c r="P345" s="161"/>
      <c r="Q345" s="19"/>
      <c r="R345" s="19"/>
      <c r="S345" s="19"/>
      <c r="T345" s="19"/>
      <c r="U345" s="19"/>
      <c r="V345" s="19"/>
    </row>
    <row r="346" spans="2:22">
      <c r="B346" s="19"/>
      <c r="C346" s="19"/>
      <c r="D346" s="19"/>
      <c r="E346" s="19"/>
      <c r="F346" s="19"/>
      <c r="G346" s="19"/>
      <c r="H346" s="19"/>
      <c r="I346" s="19"/>
      <c r="J346" s="19"/>
      <c r="K346" s="19"/>
      <c r="L346" s="19"/>
      <c r="M346" s="161"/>
      <c r="N346" s="161"/>
      <c r="O346" s="19"/>
      <c r="P346" s="161"/>
      <c r="Q346" s="19"/>
      <c r="R346" s="19"/>
      <c r="S346" s="19"/>
      <c r="T346" s="19"/>
      <c r="U346" s="19"/>
      <c r="V346" s="19"/>
    </row>
    <row r="347" spans="2:22">
      <c r="B347" s="19"/>
      <c r="C347" s="19"/>
      <c r="D347" s="19"/>
      <c r="E347" s="19"/>
      <c r="F347" s="19"/>
      <c r="G347" s="19"/>
      <c r="H347" s="19"/>
      <c r="I347" s="19"/>
      <c r="J347" s="19"/>
      <c r="K347" s="19"/>
      <c r="L347" s="19"/>
      <c r="M347" s="161"/>
      <c r="N347" s="161"/>
      <c r="O347" s="19"/>
      <c r="P347" s="161"/>
      <c r="Q347" s="19"/>
      <c r="R347" s="19"/>
      <c r="S347" s="19"/>
      <c r="T347" s="19"/>
      <c r="U347" s="19"/>
      <c r="V347" s="19"/>
    </row>
    <row r="348" spans="2:22">
      <c r="B348" s="19"/>
      <c r="C348" s="19"/>
      <c r="D348" s="19"/>
      <c r="E348" s="19"/>
      <c r="F348" s="19"/>
      <c r="G348" s="19"/>
      <c r="H348" s="19"/>
      <c r="I348" s="19"/>
      <c r="J348" s="19"/>
      <c r="K348" s="19"/>
      <c r="L348" s="19"/>
      <c r="M348" s="161"/>
      <c r="N348" s="161"/>
      <c r="O348" s="19"/>
      <c r="P348" s="161"/>
      <c r="Q348" s="19"/>
      <c r="R348" s="19"/>
      <c r="S348" s="19"/>
      <c r="T348" s="19"/>
      <c r="U348" s="19"/>
      <c r="V348" s="19"/>
    </row>
    <row r="349" spans="2:22">
      <c r="B349" s="19"/>
      <c r="C349" s="19"/>
      <c r="D349" s="19"/>
      <c r="E349" s="19"/>
      <c r="F349" s="19"/>
      <c r="G349" s="19"/>
      <c r="H349" s="19"/>
      <c r="I349" s="19"/>
      <c r="J349" s="19"/>
      <c r="K349" s="19"/>
      <c r="L349" s="19"/>
      <c r="M349" s="161"/>
      <c r="N349" s="161"/>
      <c r="O349" s="19"/>
      <c r="P349" s="161"/>
      <c r="Q349" s="19"/>
      <c r="R349" s="19"/>
      <c r="S349" s="19"/>
      <c r="T349" s="19"/>
      <c r="U349" s="19"/>
      <c r="V349" s="19"/>
    </row>
    <row r="350" spans="2:22">
      <c r="B350" s="19"/>
      <c r="C350" s="19"/>
      <c r="D350" s="19"/>
      <c r="E350" s="19"/>
      <c r="F350" s="19"/>
      <c r="G350" s="19"/>
      <c r="H350" s="19"/>
      <c r="I350" s="19"/>
      <c r="J350" s="19"/>
      <c r="K350" s="19"/>
      <c r="L350" s="19"/>
      <c r="M350" s="161"/>
      <c r="N350" s="161"/>
      <c r="O350" s="19"/>
      <c r="P350" s="161"/>
      <c r="Q350" s="19"/>
      <c r="R350" s="19"/>
      <c r="S350" s="19"/>
      <c r="T350" s="19"/>
      <c r="U350" s="19"/>
      <c r="V350" s="19"/>
    </row>
    <row r="351" spans="2:22">
      <c r="B351" s="19"/>
      <c r="C351" s="19"/>
      <c r="D351" s="19"/>
      <c r="E351" s="19"/>
      <c r="F351" s="19"/>
      <c r="G351" s="19"/>
      <c r="H351" s="19"/>
      <c r="I351" s="19"/>
      <c r="J351" s="19"/>
      <c r="K351" s="19"/>
      <c r="L351" s="19"/>
      <c r="M351" s="161"/>
      <c r="N351" s="161"/>
      <c r="O351" s="19"/>
      <c r="P351" s="161"/>
      <c r="Q351" s="19"/>
      <c r="R351" s="19"/>
      <c r="S351" s="19"/>
      <c r="T351" s="19"/>
      <c r="U351" s="19"/>
      <c r="V351" s="19"/>
    </row>
    <row r="352" spans="2:22">
      <c r="B352" s="19"/>
      <c r="C352" s="19"/>
      <c r="D352" s="19"/>
      <c r="E352" s="19"/>
      <c r="F352" s="19"/>
      <c r="G352" s="19"/>
      <c r="H352" s="19"/>
      <c r="I352" s="19"/>
      <c r="J352" s="19"/>
      <c r="K352" s="19"/>
      <c r="L352" s="19"/>
      <c r="M352" s="161"/>
      <c r="N352" s="161"/>
      <c r="O352" s="19"/>
      <c r="P352" s="161"/>
      <c r="Q352" s="19"/>
      <c r="R352" s="19"/>
      <c r="S352" s="19"/>
      <c r="T352" s="19"/>
      <c r="U352" s="19"/>
      <c r="V352" s="19"/>
    </row>
    <row r="353" spans="2:22">
      <c r="B353" s="19"/>
      <c r="C353" s="19"/>
      <c r="D353" s="19"/>
      <c r="E353" s="19"/>
      <c r="F353" s="19"/>
      <c r="G353" s="19"/>
      <c r="H353" s="19"/>
      <c r="I353" s="19"/>
      <c r="J353" s="19"/>
      <c r="K353" s="19"/>
      <c r="L353" s="19"/>
      <c r="M353" s="161"/>
      <c r="N353" s="161"/>
      <c r="O353" s="19"/>
      <c r="P353" s="161"/>
      <c r="Q353" s="19"/>
      <c r="R353" s="19"/>
      <c r="S353" s="19"/>
      <c r="T353" s="19"/>
      <c r="U353" s="19"/>
      <c r="V353" s="19"/>
    </row>
    <row r="354" spans="2:22">
      <c r="B354" s="19"/>
      <c r="C354" s="19"/>
      <c r="D354" s="19"/>
      <c r="E354" s="19"/>
      <c r="F354" s="19"/>
      <c r="G354" s="19"/>
      <c r="H354" s="19"/>
      <c r="I354" s="19"/>
      <c r="J354" s="19"/>
      <c r="K354" s="19"/>
      <c r="L354" s="19"/>
      <c r="M354" s="161"/>
      <c r="N354" s="161"/>
      <c r="O354" s="19"/>
      <c r="P354" s="161"/>
      <c r="Q354" s="19"/>
      <c r="R354" s="19"/>
      <c r="S354" s="19"/>
      <c r="T354" s="19"/>
      <c r="U354" s="19"/>
      <c r="V354" s="19"/>
    </row>
    <row r="355" spans="2:22">
      <c r="B355" s="19"/>
      <c r="C355" s="19"/>
      <c r="D355" s="19"/>
      <c r="E355" s="19"/>
      <c r="F355" s="19"/>
      <c r="G355" s="19"/>
      <c r="H355" s="19"/>
      <c r="I355" s="19"/>
      <c r="J355" s="19"/>
      <c r="K355" s="19"/>
      <c r="L355" s="19"/>
      <c r="M355" s="161"/>
      <c r="N355" s="161"/>
      <c r="O355" s="19"/>
      <c r="P355" s="161"/>
      <c r="Q355" s="19"/>
      <c r="R355" s="19"/>
      <c r="S355" s="19"/>
      <c r="T355" s="19"/>
      <c r="U355" s="19"/>
      <c r="V355" s="19"/>
    </row>
    <row r="356" spans="2:22">
      <c r="B356" s="19"/>
      <c r="C356" s="19"/>
      <c r="D356" s="19"/>
      <c r="E356" s="19"/>
      <c r="F356" s="19"/>
      <c r="G356" s="19"/>
      <c r="H356" s="19"/>
      <c r="I356" s="19"/>
      <c r="J356" s="19"/>
      <c r="K356" s="19"/>
      <c r="L356" s="19"/>
      <c r="M356" s="161"/>
      <c r="N356" s="161"/>
      <c r="O356" s="19"/>
      <c r="P356" s="161"/>
      <c r="Q356" s="19"/>
      <c r="R356" s="19"/>
      <c r="S356" s="19"/>
      <c r="T356" s="19"/>
      <c r="U356" s="19"/>
      <c r="V356" s="19"/>
    </row>
    <row r="357" spans="2:22">
      <c r="B357" s="19"/>
      <c r="C357" s="19"/>
      <c r="D357" s="19"/>
      <c r="E357" s="19"/>
      <c r="F357" s="19"/>
      <c r="G357" s="19"/>
      <c r="H357" s="19"/>
      <c r="I357" s="19"/>
      <c r="J357" s="19"/>
      <c r="K357" s="19"/>
      <c r="L357" s="19"/>
      <c r="M357" s="161"/>
      <c r="N357" s="161"/>
      <c r="O357" s="19"/>
      <c r="P357" s="161"/>
      <c r="Q357" s="19"/>
      <c r="R357" s="19"/>
      <c r="S357" s="19"/>
      <c r="T357" s="19"/>
      <c r="U357" s="19"/>
      <c r="V357" s="19"/>
    </row>
    <row r="358" spans="2:22">
      <c r="B358" s="19"/>
      <c r="C358" s="19"/>
      <c r="D358" s="19"/>
      <c r="E358" s="19"/>
      <c r="F358" s="19"/>
      <c r="G358" s="19"/>
      <c r="H358" s="19"/>
      <c r="I358" s="19"/>
      <c r="J358" s="19"/>
      <c r="K358" s="19"/>
      <c r="L358" s="19"/>
      <c r="M358" s="161"/>
      <c r="N358" s="161"/>
      <c r="O358" s="19"/>
      <c r="P358" s="161"/>
      <c r="Q358" s="19"/>
      <c r="R358" s="19"/>
      <c r="S358" s="19"/>
      <c r="T358" s="19"/>
      <c r="U358" s="19"/>
      <c r="V358" s="19"/>
    </row>
    <row r="359" spans="2:22">
      <c r="B359" s="19"/>
      <c r="C359" s="19"/>
      <c r="D359" s="19"/>
      <c r="E359" s="19"/>
      <c r="F359" s="19"/>
      <c r="G359" s="19"/>
      <c r="H359" s="19"/>
      <c r="I359" s="19"/>
      <c r="J359" s="19"/>
      <c r="K359" s="19"/>
      <c r="L359" s="19"/>
      <c r="M359" s="161"/>
      <c r="N359" s="161"/>
      <c r="O359" s="19"/>
      <c r="P359" s="161"/>
      <c r="Q359" s="19"/>
      <c r="R359" s="19"/>
      <c r="S359" s="19"/>
      <c r="T359" s="19"/>
      <c r="U359" s="19"/>
      <c r="V359" s="19"/>
    </row>
    <row r="360" spans="2:22">
      <c r="B360" s="19"/>
      <c r="C360" s="19"/>
      <c r="D360" s="19"/>
      <c r="E360" s="19"/>
      <c r="F360" s="19"/>
      <c r="G360" s="19"/>
      <c r="H360" s="19"/>
      <c r="I360" s="19"/>
      <c r="J360" s="19"/>
      <c r="K360" s="19"/>
      <c r="L360" s="19"/>
      <c r="M360" s="161"/>
      <c r="N360" s="161"/>
      <c r="O360" s="19"/>
      <c r="P360" s="161"/>
      <c r="Q360" s="19"/>
      <c r="R360" s="19"/>
      <c r="S360" s="19"/>
      <c r="T360" s="19"/>
      <c r="U360" s="19"/>
      <c r="V360" s="19"/>
    </row>
    <row r="361" spans="2:22">
      <c r="B361" s="19"/>
      <c r="C361" s="19"/>
      <c r="D361" s="19"/>
      <c r="E361" s="19"/>
      <c r="F361" s="19"/>
      <c r="G361" s="19"/>
      <c r="H361" s="19"/>
      <c r="I361" s="19"/>
      <c r="J361" s="19"/>
      <c r="K361" s="19"/>
      <c r="L361" s="19"/>
      <c r="M361" s="161"/>
      <c r="N361" s="161"/>
      <c r="O361" s="19"/>
      <c r="P361" s="161"/>
      <c r="Q361" s="19"/>
      <c r="R361" s="19"/>
      <c r="S361" s="19"/>
      <c r="T361" s="19"/>
      <c r="U361" s="19"/>
      <c r="V361" s="19"/>
    </row>
    <row r="362" spans="2:22">
      <c r="B362" s="19"/>
      <c r="C362" s="19"/>
      <c r="D362" s="19"/>
      <c r="E362" s="19"/>
      <c r="F362" s="19"/>
      <c r="G362" s="19"/>
      <c r="H362" s="19"/>
      <c r="I362" s="19"/>
      <c r="J362" s="19"/>
      <c r="K362" s="19"/>
      <c r="L362" s="19"/>
      <c r="M362" s="161"/>
      <c r="N362" s="161"/>
      <c r="O362" s="19"/>
      <c r="P362" s="161"/>
      <c r="Q362" s="19"/>
      <c r="R362" s="19"/>
      <c r="S362" s="19"/>
      <c r="T362" s="19"/>
      <c r="U362" s="19"/>
      <c r="V362" s="19"/>
    </row>
    <row r="363" spans="2:22">
      <c r="B363" s="19"/>
      <c r="C363" s="19"/>
      <c r="D363" s="19"/>
      <c r="E363" s="19"/>
      <c r="F363" s="19"/>
      <c r="G363" s="19"/>
      <c r="H363" s="19"/>
      <c r="I363" s="19"/>
      <c r="J363" s="19"/>
      <c r="K363" s="19"/>
      <c r="L363" s="19"/>
      <c r="M363" s="161"/>
      <c r="N363" s="161"/>
      <c r="O363" s="19"/>
      <c r="P363" s="161"/>
      <c r="Q363" s="19"/>
      <c r="R363" s="19"/>
      <c r="S363" s="19"/>
      <c r="T363" s="19"/>
      <c r="U363" s="19"/>
      <c r="V363" s="19"/>
    </row>
    <row r="364" spans="2:22">
      <c r="B364" s="19"/>
      <c r="C364" s="19"/>
      <c r="D364" s="19"/>
      <c r="E364" s="19"/>
      <c r="F364" s="19"/>
      <c r="G364" s="19"/>
      <c r="H364" s="19"/>
      <c r="I364" s="19"/>
      <c r="J364" s="19"/>
      <c r="K364" s="19"/>
      <c r="L364" s="19"/>
      <c r="M364" s="161"/>
      <c r="N364" s="161"/>
      <c r="O364" s="19"/>
      <c r="P364" s="161"/>
      <c r="Q364" s="19"/>
      <c r="R364" s="19"/>
      <c r="S364" s="19"/>
      <c r="T364" s="19"/>
      <c r="U364" s="19"/>
      <c r="V364" s="19"/>
    </row>
    <row r="365" spans="2:22">
      <c r="B365" s="19"/>
      <c r="C365" s="19"/>
      <c r="D365" s="19"/>
      <c r="E365" s="19"/>
      <c r="F365" s="19"/>
      <c r="G365" s="19"/>
      <c r="H365" s="19"/>
      <c r="I365" s="19"/>
      <c r="J365" s="19"/>
      <c r="K365" s="19"/>
      <c r="L365" s="19"/>
      <c r="M365" s="161"/>
      <c r="N365" s="161"/>
      <c r="O365" s="19"/>
      <c r="P365" s="161"/>
      <c r="Q365" s="19"/>
      <c r="R365" s="19"/>
      <c r="S365" s="19"/>
      <c r="T365" s="19"/>
      <c r="U365" s="19"/>
      <c r="V365" s="19"/>
    </row>
    <row r="366" spans="2:22">
      <c r="B366" s="19"/>
      <c r="C366" s="19"/>
      <c r="D366" s="19"/>
      <c r="E366" s="19"/>
      <c r="F366" s="19"/>
      <c r="G366" s="19"/>
      <c r="H366" s="19"/>
      <c r="I366" s="19"/>
      <c r="J366" s="19"/>
      <c r="K366" s="19"/>
      <c r="L366" s="19"/>
      <c r="M366" s="161"/>
      <c r="N366" s="161"/>
      <c r="O366" s="19"/>
      <c r="P366" s="161"/>
      <c r="Q366" s="19"/>
      <c r="R366" s="19"/>
      <c r="S366" s="19"/>
      <c r="T366" s="19"/>
      <c r="U366" s="19"/>
      <c r="V366" s="19"/>
    </row>
    <row r="367" spans="2:22">
      <c r="B367" s="19"/>
      <c r="C367" s="19"/>
      <c r="D367" s="19"/>
      <c r="E367" s="19"/>
      <c r="F367" s="19"/>
      <c r="G367" s="19"/>
      <c r="H367" s="19"/>
      <c r="I367" s="19"/>
      <c r="J367" s="19"/>
      <c r="K367" s="19"/>
      <c r="L367" s="19"/>
      <c r="M367" s="161"/>
      <c r="N367" s="161"/>
      <c r="O367" s="19"/>
      <c r="P367" s="161"/>
      <c r="Q367" s="19"/>
      <c r="R367" s="19"/>
      <c r="S367" s="19"/>
      <c r="T367" s="19"/>
      <c r="U367" s="19"/>
      <c r="V367" s="19"/>
    </row>
    <row r="368" spans="2:22">
      <c r="B368" s="19"/>
      <c r="C368" s="19"/>
      <c r="D368" s="19"/>
      <c r="E368" s="19"/>
      <c r="F368" s="19"/>
      <c r="G368" s="19"/>
      <c r="H368" s="19"/>
      <c r="I368" s="19"/>
      <c r="J368" s="19"/>
      <c r="K368" s="19"/>
      <c r="L368" s="19"/>
      <c r="M368" s="161"/>
      <c r="N368" s="161"/>
      <c r="O368" s="19"/>
      <c r="P368" s="161"/>
      <c r="Q368" s="19"/>
      <c r="R368" s="19"/>
      <c r="S368" s="19"/>
      <c r="T368" s="19"/>
      <c r="U368" s="19"/>
      <c r="V368" s="19"/>
    </row>
    <row r="369" spans="2:22">
      <c r="B369" s="19"/>
      <c r="C369" s="19"/>
      <c r="D369" s="19"/>
      <c r="E369" s="19"/>
      <c r="F369" s="19"/>
      <c r="G369" s="19"/>
      <c r="H369" s="19"/>
      <c r="I369" s="19"/>
      <c r="J369" s="19"/>
      <c r="K369" s="19"/>
      <c r="L369" s="19"/>
      <c r="M369" s="161"/>
      <c r="N369" s="161"/>
      <c r="O369" s="19"/>
      <c r="P369" s="161"/>
      <c r="Q369" s="19"/>
      <c r="R369" s="19"/>
      <c r="S369" s="19"/>
      <c r="T369" s="19"/>
      <c r="U369" s="19"/>
      <c r="V369" s="19"/>
    </row>
    <row r="370" spans="2:22">
      <c r="B370" s="19"/>
      <c r="C370" s="19"/>
      <c r="D370" s="19"/>
      <c r="E370" s="19"/>
      <c r="F370" s="19"/>
      <c r="G370" s="19"/>
      <c r="H370" s="19"/>
      <c r="I370" s="19"/>
      <c r="J370" s="19"/>
      <c r="K370" s="19"/>
      <c r="L370" s="19"/>
      <c r="M370" s="161"/>
      <c r="N370" s="161"/>
      <c r="O370" s="19"/>
      <c r="P370" s="161"/>
      <c r="Q370" s="19"/>
      <c r="R370" s="19"/>
      <c r="S370" s="19"/>
      <c r="T370" s="19"/>
      <c r="U370" s="19"/>
      <c r="V370" s="19"/>
    </row>
    <row r="371" spans="2:22">
      <c r="B371" s="19"/>
      <c r="C371" s="19"/>
      <c r="D371" s="19"/>
      <c r="E371" s="19"/>
      <c r="F371" s="19"/>
      <c r="G371" s="19"/>
      <c r="H371" s="19"/>
      <c r="I371" s="19"/>
      <c r="J371" s="19"/>
      <c r="K371" s="19"/>
      <c r="L371" s="19"/>
      <c r="M371" s="161"/>
      <c r="N371" s="161"/>
      <c r="O371" s="19"/>
      <c r="P371" s="161"/>
      <c r="Q371" s="19"/>
      <c r="R371" s="19"/>
      <c r="S371" s="19"/>
      <c r="T371" s="19"/>
      <c r="U371" s="19"/>
      <c r="V371" s="19"/>
    </row>
    <row r="372" spans="2:22">
      <c r="B372" s="19"/>
      <c r="C372" s="19"/>
      <c r="D372" s="19"/>
      <c r="E372" s="19"/>
      <c r="F372" s="19"/>
      <c r="G372" s="19"/>
      <c r="H372" s="19"/>
      <c r="I372" s="19"/>
      <c r="J372" s="19"/>
      <c r="K372" s="19"/>
      <c r="L372" s="19"/>
      <c r="M372" s="161"/>
      <c r="N372" s="161"/>
      <c r="O372" s="19"/>
      <c r="P372" s="161"/>
      <c r="Q372" s="19"/>
      <c r="R372" s="19"/>
      <c r="S372" s="19"/>
      <c r="T372" s="19"/>
      <c r="U372" s="19"/>
      <c r="V372" s="19"/>
    </row>
    <row r="373" spans="2:22">
      <c r="B373" s="19"/>
      <c r="C373" s="19"/>
      <c r="D373" s="19"/>
      <c r="E373" s="19"/>
      <c r="F373" s="19"/>
      <c r="G373" s="19"/>
      <c r="H373" s="19"/>
      <c r="I373" s="19"/>
      <c r="J373" s="19"/>
      <c r="K373" s="19"/>
      <c r="L373" s="19"/>
      <c r="M373" s="161"/>
      <c r="N373" s="161"/>
      <c r="O373" s="19"/>
      <c r="P373" s="161"/>
      <c r="Q373" s="19"/>
      <c r="R373" s="19"/>
      <c r="S373" s="19"/>
      <c r="T373" s="19"/>
      <c r="U373" s="19"/>
      <c r="V373" s="19"/>
    </row>
    <row r="374" spans="2:22">
      <c r="B374" s="19"/>
      <c r="C374" s="19"/>
      <c r="D374" s="19"/>
      <c r="E374" s="19"/>
      <c r="F374" s="19"/>
      <c r="G374" s="19"/>
      <c r="H374" s="19"/>
      <c r="I374" s="19"/>
      <c r="J374" s="19"/>
      <c r="K374" s="19"/>
      <c r="L374" s="19"/>
      <c r="M374" s="161"/>
      <c r="N374" s="161"/>
      <c r="O374" s="19"/>
      <c r="P374" s="161"/>
      <c r="Q374" s="19"/>
      <c r="R374" s="19"/>
      <c r="S374" s="19"/>
      <c r="T374" s="19"/>
      <c r="U374" s="19"/>
      <c r="V374" s="19"/>
    </row>
    <row r="375" spans="2:22">
      <c r="B375" s="19"/>
      <c r="C375" s="19"/>
      <c r="D375" s="19"/>
      <c r="E375" s="19"/>
      <c r="F375" s="19"/>
      <c r="G375" s="19"/>
      <c r="H375" s="19"/>
      <c r="I375" s="19"/>
      <c r="J375" s="19"/>
      <c r="K375" s="19"/>
      <c r="L375" s="19"/>
      <c r="M375" s="161"/>
      <c r="N375" s="161"/>
      <c r="O375" s="19"/>
      <c r="P375" s="161"/>
      <c r="Q375" s="19"/>
      <c r="R375" s="19"/>
      <c r="S375" s="19"/>
      <c r="T375" s="19"/>
      <c r="U375" s="19"/>
      <c r="V375" s="19"/>
    </row>
    <row r="376" spans="2:22">
      <c r="B376" s="19"/>
      <c r="C376" s="19"/>
      <c r="D376" s="19"/>
      <c r="E376" s="19"/>
      <c r="F376" s="19"/>
      <c r="G376" s="19"/>
      <c r="H376" s="19"/>
      <c r="I376" s="19"/>
      <c r="J376" s="19"/>
      <c r="K376" s="19"/>
      <c r="L376" s="19"/>
      <c r="M376" s="161"/>
      <c r="N376" s="161"/>
      <c r="O376" s="19"/>
      <c r="P376" s="161"/>
      <c r="Q376" s="19"/>
      <c r="R376" s="19"/>
      <c r="S376" s="19"/>
      <c r="T376" s="19"/>
      <c r="U376" s="19"/>
      <c r="V376" s="19"/>
    </row>
    <row r="377" spans="2:22">
      <c r="B377" s="19"/>
      <c r="C377" s="19"/>
      <c r="D377" s="19"/>
      <c r="E377" s="19"/>
      <c r="F377" s="19"/>
      <c r="G377" s="19"/>
      <c r="H377" s="19"/>
      <c r="I377" s="19"/>
      <c r="J377" s="19"/>
      <c r="K377" s="19"/>
      <c r="L377" s="19"/>
      <c r="M377" s="161"/>
      <c r="N377" s="161"/>
      <c r="O377" s="19"/>
      <c r="P377" s="161"/>
      <c r="Q377" s="19"/>
      <c r="R377" s="19"/>
      <c r="S377" s="19"/>
      <c r="T377" s="19"/>
      <c r="U377" s="19"/>
      <c r="V377" s="19"/>
    </row>
    <row r="378" spans="2:22">
      <c r="B378" s="19"/>
      <c r="C378" s="19"/>
      <c r="D378" s="19"/>
      <c r="E378" s="19"/>
      <c r="F378" s="19"/>
      <c r="G378" s="19"/>
      <c r="H378" s="19"/>
      <c r="I378" s="19"/>
      <c r="J378" s="19"/>
      <c r="K378" s="19"/>
      <c r="L378" s="19"/>
      <c r="M378" s="161"/>
      <c r="N378" s="161"/>
      <c r="O378" s="19"/>
      <c r="P378" s="161"/>
      <c r="Q378" s="19"/>
      <c r="R378" s="19"/>
      <c r="S378" s="19"/>
      <c r="T378" s="19"/>
      <c r="U378" s="19"/>
      <c r="V378" s="19"/>
    </row>
    <row r="379" spans="2:22">
      <c r="B379" s="19"/>
      <c r="C379" s="19"/>
      <c r="D379" s="19"/>
      <c r="E379" s="19"/>
      <c r="F379" s="19"/>
      <c r="G379" s="19"/>
      <c r="H379" s="19"/>
      <c r="I379" s="19"/>
      <c r="J379" s="19"/>
      <c r="K379" s="19"/>
      <c r="L379" s="19"/>
      <c r="M379" s="161"/>
      <c r="N379" s="161"/>
      <c r="O379" s="19"/>
      <c r="P379" s="161"/>
      <c r="Q379" s="19"/>
      <c r="R379" s="19"/>
      <c r="S379" s="19"/>
      <c r="T379" s="19"/>
      <c r="U379" s="19"/>
      <c r="V379" s="19"/>
    </row>
    <row r="380" spans="2:22">
      <c r="B380" s="19"/>
      <c r="C380" s="19"/>
      <c r="D380" s="19"/>
      <c r="E380" s="19"/>
      <c r="F380" s="19"/>
      <c r="G380" s="19"/>
      <c r="H380" s="19"/>
      <c r="I380" s="19"/>
      <c r="J380" s="19"/>
      <c r="K380" s="19"/>
      <c r="L380" s="19"/>
      <c r="M380" s="161"/>
      <c r="N380" s="161"/>
      <c r="O380" s="19"/>
      <c r="P380" s="161"/>
      <c r="Q380" s="19"/>
      <c r="R380" s="19"/>
      <c r="S380" s="19"/>
      <c r="T380" s="19"/>
      <c r="U380" s="19"/>
      <c r="V380" s="19"/>
    </row>
    <row r="381" spans="2:22">
      <c r="B381" s="19"/>
      <c r="C381" s="19"/>
      <c r="D381" s="19"/>
      <c r="E381" s="19"/>
      <c r="F381" s="19"/>
      <c r="G381" s="19"/>
      <c r="H381" s="19"/>
      <c r="I381" s="19"/>
      <c r="J381" s="19"/>
      <c r="K381" s="19"/>
      <c r="L381" s="19"/>
      <c r="M381" s="161"/>
      <c r="N381" s="161"/>
      <c r="O381" s="19"/>
      <c r="P381" s="161"/>
      <c r="Q381" s="19"/>
      <c r="R381" s="19"/>
      <c r="S381" s="19"/>
      <c r="T381" s="19"/>
      <c r="U381" s="19"/>
      <c r="V381" s="19"/>
    </row>
    <row r="382" spans="2:22">
      <c r="B382" s="19"/>
      <c r="C382" s="19"/>
      <c r="D382" s="19"/>
      <c r="E382" s="19"/>
      <c r="F382" s="19"/>
      <c r="G382" s="19"/>
      <c r="H382" s="19"/>
      <c r="I382" s="19"/>
      <c r="J382" s="19"/>
      <c r="K382" s="19"/>
      <c r="L382" s="19"/>
      <c r="M382" s="161"/>
      <c r="N382" s="161"/>
      <c r="O382" s="19"/>
      <c r="P382" s="161"/>
      <c r="Q382" s="19"/>
      <c r="R382" s="19"/>
      <c r="S382" s="19"/>
      <c r="T382" s="19"/>
      <c r="U382" s="19"/>
      <c r="V382" s="19"/>
    </row>
    <row r="383" spans="2:22">
      <c r="B383" s="19"/>
      <c r="C383" s="19"/>
      <c r="D383" s="19"/>
      <c r="E383" s="19"/>
      <c r="F383" s="19"/>
      <c r="G383" s="19"/>
      <c r="H383" s="19"/>
      <c r="I383" s="19"/>
      <c r="J383" s="19"/>
      <c r="K383" s="19"/>
      <c r="L383" s="19"/>
      <c r="M383" s="161"/>
      <c r="N383" s="161"/>
      <c r="O383" s="19"/>
      <c r="P383" s="161"/>
      <c r="Q383" s="19"/>
      <c r="R383" s="19"/>
      <c r="S383" s="19"/>
      <c r="T383" s="19"/>
      <c r="U383" s="19"/>
      <c r="V383" s="19"/>
    </row>
    <row r="384" spans="2:22">
      <c r="B384" s="19"/>
      <c r="C384" s="19"/>
      <c r="D384" s="19"/>
      <c r="E384" s="19"/>
      <c r="F384" s="19"/>
      <c r="G384" s="19"/>
      <c r="H384" s="19"/>
      <c r="I384" s="19"/>
      <c r="J384" s="19"/>
      <c r="K384" s="19"/>
      <c r="L384" s="19"/>
      <c r="M384" s="161"/>
      <c r="N384" s="161"/>
      <c r="O384" s="19"/>
      <c r="P384" s="161"/>
      <c r="Q384" s="19"/>
      <c r="R384" s="19"/>
      <c r="S384" s="19"/>
      <c r="T384" s="19"/>
      <c r="U384" s="19"/>
      <c r="V384" s="19"/>
    </row>
    <row r="385" spans="2:22">
      <c r="B385" s="19"/>
      <c r="C385" s="19"/>
      <c r="D385" s="19"/>
      <c r="E385" s="19"/>
      <c r="F385" s="19"/>
      <c r="G385" s="19"/>
      <c r="H385" s="19"/>
      <c r="I385" s="19"/>
      <c r="J385" s="19"/>
      <c r="K385" s="19"/>
      <c r="L385" s="19"/>
      <c r="M385" s="161"/>
      <c r="N385" s="161"/>
      <c r="O385" s="19"/>
      <c r="P385" s="161"/>
      <c r="Q385" s="19"/>
      <c r="R385" s="19"/>
      <c r="S385" s="19"/>
      <c r="T385" s="19"/>
      <c r="U385" s="19"/>
      <c r="V385" s="19"/>
    </row>
    <row r="386" spans="2:22">
      <c r="B386" s="19"/>
      <c r="C386" s="19"/>
      <c r="D386" s="19"/>
      <c r="E386" s="19"/>
      <c r="F386" s="19"/>
      <c r="G386" s="19"/>
      <c r="H386" s="19"/>
      <c r="I386" s="19"/>
      <c r="J386" s="19"/>
      <c r="K386" s="19"/>
      <c r="L386" s="19"/>
      <c r="M386" s="161"/>
      <c r="N386" s="161"/>
      <c r="O386" s="19"/>
      <c r="P386" s="161"/>
      <c r="Q386" s="19"/>
      <c r="R386" s="19"/>
      <c r="S386" s="19"/>
      <c r="T386" s="19"/>
      <c r="U386" s="19"/>
      <c r="V386" s="19"/>
    </row>
    <row r="387" spans="2:22">
      <c r="B387" s="19"/>
      <c r="C387" s="19"/>
      <c r="D387" s="19"/>
      <c r="E387" s="19"/>
      <c r="F387" s="19"/>
      <c r="G387" s="19"/>
      <c r="H387" s="19"/>
      <c r="I387" s="19"/>
      <c r="J387" s="19"/>
      <c r="K387" s="19"/>
      <c r="L387" s="19"/>
      <c r="M387" s="161"/>
      <c r="N387" s="161"/>
      <c r="O387" s="19"/>
      <c r="P387" s="161"/>
      <c r="Q387" s="19"/>
      <c r="R387" s="19"/>
      <c r="S387" s="19"/>
      <c r="T387" s="19"/>
      <c r="U387" s="19"/>
      <c r="V387" s="19"/>
    </row>
    <row r="388" spans="2:22">
      <c r="B388" s="19"/>
      <c r="C388" s="19"/>
      <c r="D388" s="19"/>
      <c r="E388" s="19"/>
      <c r="F388" s="19"/>
      <c r="G388" s="19"/>
      <c r="H388" s="19"/>
      <c r="I388" s="19"/>
      <c r="J388" s="19"/>
      <c r="K388" s="19"/>
      <c r="L388" s="19"/>
      <c r="M388" s="161"/>
      <c r="N388" s="161"/>
      <c r="O388" s="19"/>
      <c r="P388" s="161"/>
      <c r="Q388" s="19"/>
      <c r="R388" s="19"/>
      <c r="S388" s="19"/>
      <c r="T388" s="19"/>
      <c r="U388" s="19"/>
      <c r="V388" s="19"/>
    </row>
    <row r="389" spans="2:22">
      <c r="B389" s="19"/>
      <c r="C389" s="19"/>
      <c r="D389" s="19"/>
      <c r="E389" s="19"/>
      <c r="F389" s="19"/>
      <c r="G389" s="19"/>
      <c r="H389" s="19"/>
      <c r="I389" s="19"/>
      <c r="J389" s="19"/>
      <c r="K389" s="19"/>
      <c r="L389" s="19"/>
      <c r="M389" s="161"/>
      <c r="N389" s="161"/>
      <c r="O389" s="19"/>
      <c r="P389" s="161"/>
      <c r="Q389" s="19"/>
      <c r="R389" s="19"/>
      <c r="S389" s="19"/>
      <c r="T389" s="19"/>
      <c r="U389" s="19"/>
      <c r="V389" s="19"/>
    </row>
    <row r="390" spans="2:22">
      <c r="B390" s="19"/>
      <c r="C390" s="19"/>
      <c r="D390" s="19"/>
      <c r="E390" s="19"/>
      <c r="F390" s="19"/>
      <c r="G390" s="19"/>
      <c r="H390" s="19"/>
      <c r="I390" s="19"/>
      <c r="J390" s="19"/>
      <c r="K390" s="19"/>
      <c r="L390" s="19"/>
      <c r="M390" s="161"/>
      <c r="N390" s="161"/>
      <c r="O390" s="19"/>
      <c r="P390" s="161"/>
      <c r="Q390" s="19"/>
      <c r="R390" s="19"/>
      <c r="S390" s="19"/>
      <c r="T390" s="19"/>
      <c r="U390" s="19"/>
      <c r="V390" s="19"/>
    </row>
    <row r="391" spans="2:22">
      <c r="B391" s="19"/>
      <c r="C391" s="19"/>
      <c r="D391" s="19"/>
      <c r="E391" s="19"/>
      <c r="F391" s="19"/>
      <c r="G391" s="19"/>
      <c r="H391" s="19"/>
      <c r="I391" s="19"/>
      <c r="J391" s="19"/>
      <c r="K391" s="19"/>
      <c r="L391" s="19"/>
      <c r="M391" s="161"/>
      <c r="N391" s="161"/>
      <c r="O391" s="19"/>
      <c r="P391" s="161"/>
      <c r="Q391" s="19"/>
      <c r="R391" s="19"/>
      <c r="S391" s="19"/>
      <c r="T391" s="19"/>
      <c r="U391" s="19"/>
      <c r="V391" s="19"/>
    </row>
    <row r="392" spans="2:22">
      <c r="B392" s="19"/>
      <c r="C392" s="19"/>
      <c r="D392" s="19"/>
      <c r="E392" s="19"/>
      <c r="F392" s="19"/>
      <c r="G392" s="19"/>
      <c r="H392" s="19"/>
      <c r="I392" s="19"/>
      <c r="J392" s="19"/>
      <c r="K392" s="19"/>
      <c r="L392" s="19"/>
      <c r="M392" s="161"/>
      <c r="N392" s="161"/>
      <c r="O392" s="19"/>
      <c r="P392" s="161"/>
      <c r="Q392" s="19"/>
      <c r="R392" s="19"/>
      <c r="S392" s="19"/>
      <c r="T392" s="19"/>
      <c r="U392" s="19"/>
      <c r="V392" s="19"/>
    </row>
    <row r="393" spans="2:22">
      <c r="B393" s="19"/>
      <c r="C393" s="19"/>
      <c r="D393" s="19"/>
      <c r="E393" s="19"/>
      <c r="F393" s="19"/>
      <c r="G393" s="19"/>
      <c r="H393" s="19"/>
      <c r="I393" s="19"/>
      <c r="J393" s="19"/>
      <c r="K393" s="19"/>
      <c r="L393" s="19"/>
      <c r="M393" s="161"/>
      <c r="N393" s="161"/>
      <c r="O393" s="19"/>
      <c r="P393" s="161"/>
      <c r="Q393" s="19"/>
      <c r="R393" s="19"/>
      <c r="S393" s="19"/>
      <c r="T393" s="19"/>
      <c r="U393" s="19"/>
      <c r="V393" s="19"/>
    </row>
    <row r="394" spans="2:22">
      <c r="B394" s="19"/>
      <c r="C394" s="19"/>
      <c r="D394" s="19"/>
      <c r="E394" s="19"/>
      <c r="F394" s="19"/>
      <c r="G394" s="19"/>
      <c r="H394" s="19"/>
      <c r="I394" s="19"/>
      <c r="J394" s="19"/>
      <c r="K394" s="19"/>
      <c r="L394" s="19"/>
      <c r="M394" s="161"/>
      <c r="N394" s="161"/>
      <c r="O394" s="19"/>
      <c r="P394" s="161"/>
      <c r="Q394" s="19"/>
      <c r="R394" s="19"/>
      <c r="S394" s="19"/>
      <c r="T394" s="19"/>
      <c r="U394" s="19"/>
      <c r="V394" s="19"/>
    </row>
    <row r="395" spans="2:22">
      <c r="B395" s="19"/>
      <c r="C395" s="19"/>
      <c r="D395" s="19"/>
      <c r="E395" s="19"/>
      <c r="F395" s="19"/>
      <c r="G395" s="19"/>
      <c r="H395" s="19"/>
      <c r="I395" s="19"/>
      <c r="J395" s="19"/>
      <c r="K395" s="19"/>
      <c r="L395" s="19"/>
      <c r="M395" s="161"/>
      <c r="N395" s="161"/>
      <c r="O395" s="19"/>
      <c r="P395" s="161"/>
      <c r="Q395" s="19"/>
      <c r="R395" s="19"/>
      <c r="S395" s="19"/>
      <c r="T395" s="19"/>
      <c r="U395" s="19"/>
      <c r="V395" s="19"/>
    </row>
    <row r="396" spans="2:22">
      <c r="B396" s="19"/>
      <c r="C396" s="19"/>
      <c r="D396" s="19"/>
      <c r="E396" s="19"/>
      <c r="F396" s="19"/>
      <c r="G396" s="19"/>
      <c r="H396" s="19"/>
      <c r="I396" s="19"/>
      <c r="J396" s="19"/>
      <c r="K396" s="19"/>
      <c r="L396" s="19"/>
      <c r="M396" s="161"/>
      <c r="N396" s="161"/>
      <c r="O396" s="19"/>
      <c r="P396" s="161"/>
      <c r="Q396" s="19"/>
      <c r="R396" s="19"/>
      <c r="S396" s="19"/>
      <c r="T396" s="19"/>
      <c r="U396" s="19"/>
      <c r="V396" s="19"/>
    </row>
    <row r="397" spans="2:22">
      <c r="B397" s="19"/>
      <c r="C397" s="19"/>
      <c r="D397" s="19"/>
      <c r="E397" s="19"/>
      <c r="F397" s="19"/>
      <c r="G397" s="19"/>
      <c r="H397" s="19"/>
      <c r="I397" s="19"/>
      <c r="J397" s="19"/>
      <c r="K397" s="19"/>
      <c r="L397" s="19"/>
      <c r="M397" s="161"/>
      <c r="N397" s="161"/>
      <c r="O397" s="19"/>
      <c r="P397" s="161"/>
      <c r="Q397" s="19"/>
      <c r="R397" s="19"/>
      <c r="S397" s="19"/>
      <c r="T397" s="19"/>
      <c r="U397" s="19"/>
      <c r="V397" s="19"/>
    </row>
    <row r="398" spans="2:22">
      <c r="B398" s="19"/>
      <c r="C398" s="19"/>
      <c r="D398" s="19"/>
      <c r="E398" s="19"/>
      <c r="F398" s="19"/>
      <c r="G398" s="19"/>
      <c r="H398" s="19"/>
      <c r="I398" s="19"/>
      <c r="J398" s="19"/>
      <c r="K398" s="19"/>
      <c r="L398" s="19"/>
      <c r="M398" s="161"/>
      <c r="N398" s="161"/>
      <c r="O398" s="19"/>
      <c r="P398" s="161"/>
      <c r="Q398" s="19"/>
      <c r="R398" s="19"/>
      <c r="S398" s="19"/>
      <c r="T398" s="19"/>
      <c r="U398" s="19"/>
      <c r="V398" s="19"/>
    </row>
    <row r="399" spans="2:22">
      <c r="B399" s="19"/>
      <c r="C399" s="19"/>
      <c r="D399" s="19"/>
      <c r="E399" s="19"/>
      <c r="F399" s="19"/>
      <c r="G399" s="19"/>
      <c r="H399" s="19"/>
      <c r="I399" s="19"/>
      <c r="J399" s="19"/>
      <c r="K399" s="19"/>
      <c r="L399" s="19"/>
      <c r="M399" s="161"/>
      <c r="N399" s="161"/>
      <c r="O399" s="19"/>
      <c r="P399" s="161"/>
      <c r="Q399" s="19"/>
      <c r="R399" s="19"/>
      <c r="S399" s="19"/>
      <c r="T399" s="19"/>
      <c r="U399" s="19"/>
      <c r="V399" s="19"/>
    </row>
    <row r="400" spans="2:22">
      <c r="B400" s="19"/>
      <c r="C400" s="19"/>
      <c r="D400" s="19"/>
      <c r="E400" s="19"/>
      <c r="F400" s="19"/>
      <c r="G400" s="19"/>
      <c r="H400" s="19"/>
      <c r="I400" s="19"/>
      <c r="J400" s="19"/>
      <c r="K400" s="19"/>
      <c r="L400" s="19"/>
      <c r="M400" s="161"/>
      <c r="N400" s="161"/>
      <c r="O400" s="19"/>
      <c r="P400" s="161"/>
      <c r="Q400" s="19"/>
      <c r="R400" s="19"/>
      <c r="S400" s="19"/>
      <c r="T400" s="19"/>
      <c r="U400" s="19"/>
      <c r="V400" s="19"/>
    </row>
    <row r="401" spans="2:22">
      <c r="B401" s="19"/>
      <c r="C401" s="19"/>
      <c r="D401" s="19"/>
      <c r="E401" s="19"/>
      <c r="F401" s="19"/>
      <c r="G401" s="19"/>
      <c r="H401" s="19"/>
      <c r="I401" s="19"/>
      <c r="J401" s="19"/>
      <c r="K401" s="19"/>
      <c r="L401" s="19"/>
      <c r="M401" s="161"/>
      <c r="N401" s="161"/>
      <c r="O401" s="19"/>
      <c r="P401" s="161"/>
      <c r="Q401" s="19"/>
      <c r="R401" s="19"/>
      <c r="S401" s="19"/>
      <c r="T401" s="19"/>
      <c r="U401" s="19"/>
      <c r="V401" s="19"/>
    </row>
    <row r="402" spans="2:22">
      <c r="B402" s="19"/>
      <c r="C402" s="19"/>
      <c r="D402" s="19"/>
      <c r="E402" s="19"/>
      <c r="F402" s="19"/>
      <c r="G402" s="19"/>
      <c r="H402" s="19"/>
      <c r="I402" s="19"/>
      <c r="J402" s="19"/>
      <c r="K402" s="19"/>
      <c r="L402" s="19"/>
      <c r="M402" s="161"/>
      <c r="N402" s="161"/>
      <c r="O402" s="19"/>
      <c r="P402" s="161"/>
      <c r="Q402" s="19"/>
      <c r="R402" s="19"/>
      <c r="S402" s="19"/>
      <c r="T402" s="19"/>
      <c r="U402" s="19"/>
      <c r="V402" s="19"/>
    </row>
    <row r="403" spans="2:22">
      <c r="B403" s="19"/>
      <c r="C403" s="19"/>
      <c r="D403" s="19"/>
      <c r="E403" s="19"/>
      <c r="F403" s="19"/>
      <c r="G403" s="19"/>
      <c r="H403" s="19"/>
      <c r="I403" s="19"/>
      <c r="J403" s="19"/>
      <c r="K403" s="19"/>
      <c r="L403" s="19"/>
      <c r="M403" s="161"/>
      <c r="N403" s="161"/>
      <c r="O403" s="19"/>
      <c r="P403" s="161"/>
      <c r="Q403" s="19"/>
      <c r="R403" s="19"/>
      <c r="S403" s="19"/>
      <c r="T403" s="19"/>
      <c r="U403" s="19"/>
      <c r="V403" s="19"/>
    </row>
    <row r="404" spans="2:22">
      <c r="B404" s="19"/>
      <c r="C404" s="19"/>
      <c r="D404" s="19"/>
      <c r="E404" s="19"/>
      <c r="F404" s="19"/>
      <c r="G404" s="19"/>
      <c r="H404" s="19"/>
      <c r="I404" s="19"/>
      <c r="J404" s="19"/>
      <c r="K404" s="19"/>
      <c r="L404" s="19"/>
      <c r="M404" s="161"/>
      <c r="N404" s="161"/>
      <c r="O404" s="19"/>
      <c r="P404" s="161"/>
      <c r="Q404" s="19"/>
      <c r="R404" s="19"/>
      <c r="S404" s="19"/>
      <c r="T404" s="19"/>
      <c r="U404" s="19"/>
      <c r="V404" s="19"/>
    </row>
    <row r="405" spans="2:22">
      <c r="B405" s="19"/>
      <c r="C405" s="19"/>
      <c r="D405" s="19"/>
      <c r="E405" s="19"/>
      <c r="F405" s="19"/>
      <c r="G405" s="19"/>
      <c r="H405" s="19"/>
      <c r="I405" s="19"/>
      <c r="J405" s="19"/>
      <c r="K405" s="19"/>
      <c r="L405" s="19"/>
      <c r="M405" s="161"/>
      <c r="N405" s="161"/>
      <c r="O405" s="19"/>
      <c r="P405" s="161"/>
      <c r="Q405" s="19"/>
      <c r="R405" s="19"/>
      <c r="S405" s="19"/>
      <c r="T405" s="19"/>
      <c r="U405" s="19"/>
      <c r="V405" s="19"/>
    </row>
    <row r="406" spans="2:22">
      <c r="B406" s="19"/>
      <c r="C406" s="19"/>
      <c r="D406" s="19"/>
      <c r="E406" s="19"/>
      <c r="F406" s="19"/>
      <c r="G406" s="19"/>
      <c r="H406" s="19"/>
      <c r="I406" s="19"/>
      <c r="J406" s="19"/>
      <c r="K406" s="19"/>
      <c r="L406" s="19"/>
      <c r="M406" s="161"/>
      <c r="N406" s="161"/>
      <c r="O406" s="19"/>
      <c r="P406" s="161"/>
      <c r="Q406" s="19"/>
      <c r="R406" s="19"/>
      <c r="S406" s="19"/>
      <c r="T406" s="19"/>
      <c r="U406" s="19"/>
      <c r="V406" s="19"/>
    </row>
    <row r="407" spans="2:22">
      <c r="B407" s="19"/>
      <c r="C407" s="19"/>
      <c r="D407" s="19"/>
      <c r="E407" s="19"/>
      <c r="F407" s="19"/>
      <c r="G407" s="19"/>
      <c r="H407" s="19"/>
      <c r="I407" s="19"/>
      <c r="J407" s="19"/>
      <c r="K407" s="19"/>
      <c r="L407" s="19"/>
      <c r="M407" s="161"/>
      <c r="N407" s="161"/>
      <c r="O407" s="19"/>
      <c r="P407" s="161"/>
      <c r="Q407" s="19"/>
      <c r="R407" s="19"/>
      <c r="S407" s="19"/>
      <c r="T407" s="19"/>
      <c r="U407" s="19"/>
      <c r="V407" s="19"/>
    </row>
    <row r="408" spans="2:22">
      <c r="B408" s="19"/>
      <c r="C408" s="19"/>
      <c r="D408" s="19"/>
      <c r="E408" s="19"/>
      <c r="F408" s="19"/>
      <c r="G408" s="19"/>
      <c r="H408" s="19"/>
      <c r="I408" s="19"/>
      <c r="J408" s="19"/>
      <c r="K408" s="19"/>
      <c r="L408" s="19"/>
      <c r="M408" s="161"/>
      <c r="N408" s="161"/>
      <c r="O408" s="19"/>
      <c r="P408" s="161"/>
      <c r="Q408" s="19"/>
      <c r="R408" s="19"/>
      <c r="S408" s="19"/>
      <c r="T408" s="19"/>
      <c r="U408" s="19"/>
      <c r="V408" s="19"/>
    </row>
    <row r="409" spans="2:22">
      <c r="B409" s="19"/>
      <c r="C409" s="19"/>
      <c r="D409" s="19"/>
      <c r="E409" s="19"/>
      <c r="F409" s="19"/>
      <c r="G409" s="19"/>
      <c r="H409" s="19"/>
      <c r="I409" s="19"/>
      <c r="J409" s="19"/>
      <c r="K409" s="19"/>
      <c r="L409" s="19"/>
      <c r="M409" s="161"/>
      <c r="N409" s="161"/>
      <c r="O409" s="19"/>
      <c r="P409" s="161"/>
      <c r="Q409" s="19"/>
      <c r="R409" s="19"/>
      <c r="S409" s="19"/>
      <c r="T409" s="19"/>
      <c r="U409" s="19"/>
      <c r="V409" s="19"/>
    </row>
    <row r="410" spans="2:22">
      <c r="B410" s="19"/>
      <c r="C410" s="19"/>
      <c r="D410" s="19"/>
      <c r="E410" s="19"/>
      <c r="F410" s="19"/>
      <c r="G410" s="19"/>
      <c r="H410" s="19"/>
      <c r="I410" s="19"/>
      <c r="J410" s="19"/>
      <c r="K410" s="19"/>
      <c r="L410" s="19"/>
      <c r="M410" s="161"/>
      <c r="N410" s="161"/>
      <c r="O410" s="19"/>
      <c r="P410" s="161"/>
      <c r="Q410" s="19"/>
      <c r="R410" s="19"/>
      <c r="S410" s="19"/>
      <c r="T410" s="19"/>
      <c r="U410" s="19"/>
      <c r="V410" s="19"/>
    </row>
    <row r="411" spans="2:22">
      <c r="B411" s="19"/>
      <c r="C411" s="19"/>
      <c r="D411" s="19"/>
      <c r="E411" s="19"/>
      <c r="F411" s="19"/>
      <c r="G411" s="19"/>
      <c r="H411" s="19"/>
      <c r="I411" s="19"/>
      <c r="J411" s="19"/>
      <c r="K411" s="19"/>
      <c r="L411" s="19"/>
      <c r="M411" s="161"/>
      <c r="N411" s="161"/>
      <c r="O411" s="19"/>
      <c r="P411" s="161"/>
      <c r="Q411" s="19"/>
      <c r="R411" s="19"/>
      <c r="S411" s="19"/>
      <c r="T411" s="19"/>
      <c r="U411" s="19"/>
      <c r="V411" s="19"/>
    </row>
    <row r="412" spans="2:22">
      <c r="B412" s="19"/>
      <c r="C412" s="19"/>
      <c r="D412" s="19"/>
      <c r="E412" s="19"/>
      <c r="F412" s="19"/>
      <c r="G412" s="19"/>
      <c r="H412" s="19"/>
      <c r="I412" s="19"/>
      <c r="J412" s="19"/>
      <c r="K412" s="19"/>
      <c r="L412" s="19"/>
      <c r="M412" s="161"/>
      <c r="N412" s="161"/>
      <c r="O412" s="19"/>
      <c r="P412" s="161"/>
      <c r="Q412" s="19"/>
      <c r="R412" s="19"/>
      <c r="S412" s="19"/>
      <c r="T412" s="19"/>
      <c r="U412" s="19"/>
      <c r="V412" s="19"/>
    </row>
    <row r="413" spans="2:22">
      <c r="B413" s="19"/>
      <c r="C413" s="19"/>
      <c r="D413" s="19"/>
      <c r="E413" s="19"/>
      <c r="F413" s="19"/>
      <c r="G413" s="19"/>
      <c r="H413" s="19"/>
      <c r="I413" s="19"/>
      <c r="J413" s="19"/>
      <c r="K413" s="19"/>
      <c r="L413" s="19"/>
      <c r="M413" s="161"/>
      <c r="N413" s="161"/>
      <c r="O413" s="19"/>
      <c r="P413" s="161"/>
      <c r="Q413" s="19"/>
      <c r="R413" s="19"/>
      <c r="S413" s="19"/>
      <c r="T413" s="19"/>
      <c r="U413" s="19"/>
      <c r="V413" s="19"/>
    </row>
    <row r="414" spans="2:22">
      <c r="B414" s="19"/>
      <c r="C414" s="19"/>
      <c r="D414" s="19"/>
      <c r="E414" s="19"/>
      <c r="F414" s="19"/>
      <c r="G414" s="19"/>
      <c r="H414" s="19"/>
      <c r="I414" s="19"/>
      <c r="J414" s="19"/>
      <c r="K414" s="19"/>
      <c r="L414" s="19"/>
      <c r="M414" s="161"/>
      <c r="N414" s="161"/>
      <c r="O414" s="19"/>
      <c r="P414" s="161"/>
      <c r="Q414" s="19"/>
      <c r="R414" s="19"/>
      <c r="S414" s="19"/>
      <c r="T414" s="19"/>
      <c r="U414" s="19"/>
      <c r="V414" s="19"/>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40625" defaultRowHeight="12.75" outlineLevelCol="1"/>
  <cols>
    <col min="1" max="1" width="1.85546875" style="1" customWidth="1"/>
    <col min="2" max="2" width="14.85546875" style="1" customWidth="1"/>
    <col min="3" max="4" width="6.140625" style="1" customWidth="1"/>
    <col min="5" max="5" width="5.85546875" style="1" bestFit="1" customWidth="1"/>
    <col min="6" max="6" width="1.7109375" style="1" customWidth="1"/>
    <col min="7" max="7" width="9.140625" style="1"/>
    <col min="8" max="8" width="14" style="1" customWidth="1"/>
    <col min="9" max="9" width="9.85546875" style="1" customWidth="1" outlineLevel="1"/>
    <col min="10" max="14" width="9.140625" style="1" customWidth="1" outlineLevel="1"/>
    <col min="15" max="17" width="6.140625" style="1" customWidth="1" outlineLevel="1"/>
    <col min="18" max="28" width="6.140625" style="1" customWidth="1"/>
    <col min="29" max="16384" width="9.140625" style="1"/>
  </cols>
  <sheetData>
    <row r="1" spans="2:37">
      <c r="B1" s="146" t="s">
        <v>265</v>
      </c>
    </row>
    <row r="2" spans="2:37">
      <c r="B2" s="146"/>
      <c r="H2" s="93"/>
      <c r="V2" s="59">
        <f>V6-U6</f>
        <v>15</v>
      </c>
      <c r="W2" s="59"/>
      <c r="X2" s="59"/>
      <c r="Y2" s="59"/>
    </row>
    <row r="4" spans="2:37" ht="15.75" customHeight="1">
      <c r="B4" s="233" t="s">
        <v>47</v>
      </c>
      <c r="C4" s="346">
        <v>41547</v>
      </c>
      <c r="D4" s="347"/>
      <c r="E4" s="347"/>
      <c r="H4" s="6" t="s">
        <v>47</v>
      </c>
      <c r="I4" s="6"/>
      <c r="J4" s="6"/>
      <c r="K4" s="6"/>
      <c r="L4" s="6"/>
      <c r="M4" s="6"/>
      <c r="N4" s="6"/>
      <c r="O4" s="6"/>
      <c r="P4" s="6"/>
      <c r="Q4" s="6"/>
      <c r="R4" s="6"/>
      <c r="S4" s="6"/>
      <c r="T4" s="6"/>
      <c r="U4" s="6"/>
      <c r="V4" s="6"/>
      <c r="W4" s="6"/>
      <c r="X4" s="6"/>
      <c r="Y4" s="6"/>
      <c r="Z4" s="6"/>
      <c r="AA4" s="6"/>
      <c r="AB4" s="6"/>
      <c r="AC4" s="348" t="s">
        <v>249</v>
      </c>
      <c r="AD4" s="348"/>
      <c r="AE4" s="348"/>
      <c r="AF4" s="348"/>
      <c r="AG4" s="348"/>
      <c r="AH4" s="348"/>
      <c r="AI4" s="348"/>
      <c r="AJ4" s="348"/>
    </row>
    <row r="5" spans="2:37" ht="13.5" customHeight="1">
      <c r="B5" s="7"/>
      <c r="C5" s="3" t="s">
        <v>54</v>
      </c>
      <c r="D5" s="2" t="s">
        <v>55</v>
      </c>
      <c r="E5" s="3" t="s">
        <v>60</v>
      </c>
      <c r="H5" s="7" t="s">
        <v>49</v>
      </c>
      <c r="I5" s="94" t="s">
        <v>78</v>
      </c>
      <c r="J5" s="94" t="s">
        <v>72</v>
      </c>
      <c r="K5" s="94" t="s">
        <v>73</v>
      </c>
      <c r="L5" s="94" t="s">
        <v>83</v>
      </c>
      <c r="M5" s="94" t="s">
        <v>74</v>
      </c>
      <c r="N5" s="94" t="s">
        <v>75</v>
      </c>
      <c r="O5" s="94" t="s">
        <v>65</v>
      </c>
      <c r="P5" s="94" t="s">
        <v>66</v>
      </c>
      <c r="Q5" s="94" t="s">
        <v>67</v>
      </c>
      <c r="R5" s="94" t="s">
        <v>68</v>
      </c>
      <c r="S5" s="94" t="s">
        <v>69</v>
      </c>
      <c r="T5" s="94" t="s">
        <v>111</v>
      </c>
      <c r="U5" s="94" t="s">
        <v>125</v>
      </c>
      <c r="V5" s="94" t="s">
        <v>131</v>
      </c>
      <c r="W5" s="94" t="s">
        <v>156</v>
      </c>
      <c r="X5" s="94" t="s">
        <v>230</v>
      </c>
      <c r="Y5" s="94" t="s">
        <v>234</v>
      </c>
      <c r="Z5" s="94" t="s">
        <v>261</v>
      </c>
      <c r="AA5" s="94"/>
      <c r="AB5" s="94"/>
      <c r="AC5" s="7">
        <v>110</v>
      </c>
      <c r="AD5" s="7">
        <v>120</v>
      </c>
      <c r="AE5" s="7">
        <v>160</v>
      </c>
      <c r="AF5" s="7">
        <v>230</v>
      </c>
      <c r="AG5" s="7">
        <v>450</v>
      </c>
      <c r="AH5" s="7">
        <v>600</v>
      </c>
      <c r="AI5" s="7">
        <v>800</v>
      </c>
      <c r="AJ5" s="3" t="s">
        <v>26</v>
      </c>
    </row>
    <row r="6" spans="2:37" ht="13.5" customHeight="1">
      <c r="B6" s="1" t="s">
        <v>59</v>
      </c>
      <c r="C6" s="35">
        <v>898</v>
      </c>
      <c r="D6" s="234">
        <v>905</v>
      </c>
      <c r="E6" s="96">
        <f t="shared" ref="E6:E19" si="0">+IFERROR(C6/D6-1,"-")</f>
        <v>-7.7348066298342788E-3</v>
      </c>
      <c r="H6" s="1" t="s">
        <v>59</v>
      </c>
      <c r="I6" s="34">
        <v>910.85</v>
      </c>
      <c r="J6" s="34">
        <v>886.46</v>
      </c>
      <c r="K6" s="34">
        <v>923.41</v>
      </c>
      <c r="L6" s="34">
        <v>918.23</v>
      </c>
      <c r="M6" s="34">
        <v>903.05</v>
      </c>
      <c r="N6" s="34">
        <v>903.39</v>
      </c>
      <c r="O6" s="151">
        <v>904.42</v>
      </c>
      <c r="P6" s="151">
        <v>896.06</v>
      </c>
      <c r="Q6" s="151">
        <v>879.85770000000025</v>
      </c>
      <c r="R6" s="151">
        <v>862.38</v>
      </c>
      <c r="S6" s="151">
        <v>849.68</v>
      </c>
      <c r="T6" s="151">
        <v>876</v>
      </c>
      <c r="U6" s="151">
        <v>873</v>
      </c>
      <c r="V6" s="151">
        <v>888</v>
      </c>
      <c r="W6" s="151">
        <v>890</v>
      </c>
      <c r="X6" s="151">
        <v>930</v>
      </c>
      <c r="Y6" s="151">
        <v>908</v>
      </c>
      <c r="Z6" s="151">
        <v>895</v>
      </c>
      <c r="AA6" s="151"/>
      <c r="AB6" s="151"/>
      <c r="AC6" s="1">
        <v>5</v>
      </c>
      <c r="AD6" s="1">
        <f>3+2+1+7+2+4+2</f>
        <v>21</v>
      </c>
      <c r="AE6" s="1">
        <v>1</v>
      </c>
      <c r="AF6" s="1">
        <f>1+1+1</f>
        <v>3</v>
      </c>
      <c r="AG6" s="1">
        <v>2</v>
      </c>
      <c r="AH6" s="1">
        <f>2+4+1</f>
        <v>7</v>
      </c>
      <c r="AI6" s="1">
        <f>10+8+3+4+6+6+3+2+1+1+1+2+2+2+1+1.5+2+2+1.5+2</f>
        <v>61</v>
      </c>
      <c r="AJ6" s="7">
        <f>SUM(AC6:AI6)</f>
        <v>100</v>
      </c>
    </row>
    <row r="7" spans="2:37" ht="13.5" customHeight="1">
      <c r="B7" s="1" t="s">
        <v>56</v>
      </c>
      <c r="C7" s="35">
        <v>10</v>
      </c>
      <c r="D7" s="234">
        <v>0</v>
      </c>
      <c r="E7" s="96" t="str">
        <f t="shared" si="0"/>
        <v>-</v>
      </c>
      <c r="H7" s="1" t="s">
        <v>56</v>
      </c>
      <c r="I7" s="34"/>
      <c r="J7" s="34"/>
      <c r="K7" s="34"/>
      <c r="L7" s="34">
        <v>20</v>
      </c>
      <c r="M7" s="34">
        <v>24.47</v>
      </c>
      <c r="N7" s="34">
        <v>27.15</v>
      </c>
      <c r="O7" s="151">
        <v>15.16</v>
      </c>
      <c r="P7" s="151">
        <v>17.89</v>
      </c>
      <c r="Q7" s="151">
        <v>18.86</v>
      </c>
      <c r="R7" s="151">
        <v>7.2</v>
      </c>
      <c r="S7" s="151">
        <v>8.4</v>
      </c>
      <c r="T7" s="151">
        <v>11</v>
      </c>
      <c r="U7" s="151">
        <v>13</v>
      </c>
      <c r="V7" s="151">
        <v>11.3</v>
      </c>
      <c r="W7" s="151">
        <v>26.339999999999989</v>
      </c>
      <c r="X7" s="151">
        <v>20</v>
      </c>
      <c r="Y7" s="151">
        <v>10</v>
      </c>
      <c r="Z7" s="151">
        <v>11</v>
      </c>
      <c r="AA7" s="151"/>
      <c r="AB7" s="151"/>
      <c r="AJ7" s="1">
        <f>120-AJ6</f>
        <v>20</v>
      </c>
    </row>
    <row r="8" spans="2:37" ht="13.5" customHeight="1">
      <c r="B8" s="8" t="s">
        <v>142</v>
      </c>
      <c r="C8" s="104">
        <f>+SUBTOTAL(9,C6:C7)</f>
        <v>908</v>
      </c>
      <c r="D8" s="104">
        <f>+SUBTOTAL(9,D6:D7)</f>
        <v>905</v>
      </c>
      <c r="E8" s="105">
        <f t="shared" si="0"/>
        <v>3.3149171270718814E-3</v>
      </c>
      <c r="H8" s="8" t="s">
        <v>142</v>
      </c>
      <c r="I8" s="104">
        <f t="shared" ref="I8:N8" si="1">+SUBTOTAL(9,I6:I7)</f>
        <v>910.85</v>
      </c>
      <c r="J8" s="104">
        <f t="shared" si="1"/>
        <v>886.46</v>
      </c>
      <c r="K8" s="104">
        <f t="shared" si="1"/>
        <v>923.41</v>
      </c>
      <c r="L8" s="104">
        <f t="shared" si="1"/>
        <v>938.23</v>
      </c>
      <c r="M8" s="104">
        <f t="shared" si="1"/>
        <v>927.52</v>
      </c>
      <c r="N8" s="104">
        <f t="shared" si="1"/>
        <v>930.54</v>
      </c>
      <c r="O8" s="151">
        <f t="shared" ref="O8:W8" si="2">+SUBTOTAL(9,O6:O7)</f>
        <v>919.57999999999993</v>
      </c>
      <c r="P8" s="151">
        <f t="shared" si="2"/>
        <v>913.94999999999993</v>
      </c>
      <c r="Q8" s="151">
        <f t="shared" si="2"/>
        <v>898.71770000000026</v>
      </c>
      <c r="R8" s="151">
        <f t="shared" si="2"/>
        <v>869.58</v>
      </c>
      <c r="S8" s="151">
        <f t="shared" si="2"/>
        <v>858.07999999999993</v>
      </c>
      <c r="T8" s="151">
        <f t="shared" si="2"/>
        <v>887</v>
      </c>
      <c r="U8" s="151">
        <f t="shared" si="2"/>
        <v>886</v>
      </c>
      <c r="V8" s="151">
        <f t="shared" si="2"/>
        <v>899.3</v>
      </c>
      <c r="W8" s="151">
        <f t="shared" si="2"/>
        <v>916.34</v>
      </c>
      <c r="X8" s="151">
        <f>+SUBTOTAL(9,X6:X7)</f>
        <v>950</v>
      </c>
      <c r="Y8" s="151">
        <f>+SUBTOTAL(9,Y6:Y7)</f>
        <v>918</v>
      </c>
      <c r="Z8" s="151">
        <f>+SUBTOTAL(9,Z6:Z7)</f>
        <v>906</v>
      </c>
      <c r="AA8" s="151"/>
      <c r="AB8" s="151"/>
      <c r="AD8" s="5">
        <f>+S8/O8-1</f>
        <v>-6.6878357511037656E-2</v>
      </c>
      <c r="AE8" s="5">
        <f>+T8/S8-1</f>
        <v>3.3703151221331495E-2</v>
      </c>
      <c r="AF8" s="34">
        <f>+T8-O8</f>
        <v>-32.579999999999927</v>
      </c>
      <c r="AG8" s="34">
        <f>+T8-S8</f>
        <v>28.920000000000073</v>
      </c>
    </row>
    <row r="9" spans="2:37" ht="13.5" customHeight="1">
      <c r="C9" s="35"/>
      <c r="D9" s="95"/>
      <c r="E9" s="96"/>
      <c r="H9" s="1" t="s">
        <v>101</v>
      </c>
      <c r="I9" s="34">
        <v>74</v>
      </c>
      <c r="J9" s="34">
        <v>66</v>
      </c>
      <c r="K9" s="34">
        <v>65</v>
      </c>
      <c r="L9" s="34">
        <v>67.19</v>
      </c>
      <c r="M9" s="34">
        <v>66</v>
      </c>
      <c r="N9" s="34">
        <v>58.59</v>
      </c>
      <c r="O9" s="151">
        <v>57</v>
      </c>
      <c r="P9" s="151">
        <v>52.09</v>
      </c>
      <c r="Q9" s="151">
        <v>53</v>
      </c>
      <c r="R9" s="151">
        <v>45.59</v>
      </c>
      <c r="S9" s="151">
        <v>47</v>
      </c>
      <c r="T9" s="151">
        <v>40</v>
      </c>
      <c r="U9" s="151">
        <v>39</v>
      </c>
      <c r="V9" s="151">
        <v>29</v>
      </c>
      <c r="W9" s="151">
        <v>26</v>
      </c>
      <c r="X9" s="151">
        <v>0</v>
      </c>
      <c r="Y9" s="151">
        <v>0</v>
      </c>
      <c r="Z9" s="151">
        <v>0</v>
      </c>
      <c r="AA9" s="151"/>
      <c r="AB9" s="151"/>
    </row>
    <row r="10" spans="2:37" ht="13.5" customHeight="1">
      <c r="C10" s="35"/>
      <c r="D10" s="95"/>
      <c r="E10" s="96"/>
      <c r="H10" s="1" t="s">
        <v>50</v>
      </c>
      <c r="I10" s="34">
        <v>0</v>
      </c>
      <c r="J10" s="34">
        <v>0</v>
      </c>
      <c r="K10" s="34">
        <v>10</v>
      </c>
      <c r="L10" s="34">
        <v>10</v>
      </c>
      <c r="M10" s="34">
        <v>10</v>
      </c>
      <c r="N10" s="34">
        <v>10</v>
      </c>
      <c r="O10" s="151">
        <v>8</v>
      </c>
      <c r="P10" s="151">
        <v>8</v>
      </c>
      <c r="Q10" s="151">
        <v>8</v>
      </c>
      <c r="R10" s="151">
        <v>9</v>
      </c>
      <c r="S10" s="151">
        <v>8</v>
      </c>
      <c r="T10" s="151">
        <v>8</v>
      </c>
      <c r="U10" s="151">
        <v>9</v>
      </c>
      <c r="V10" s="151">
        <v>7.44</v>
      </c>
      <c r="W10" s="151">
        <v>7</v>
      </c>
      <c r="X10" s="151">
        <v>0</v>
      </c>
      <c r="Y10" s="151">
        <v>0</v>
      </c>
      <c r="Z10" s="151">
        <v>0</v>
      </c>
      <c r="AA10" s="151"/>
      <c r="AB10" s="151"/>
    </row>
    <row r="11" spans="2:37" ht="13.5" customHeight="1">
      <c r="B11" s="97" t="s">
        <v>97</v>
      </c>
      <c r="C11" s="98">
        <f>+SUBTOTAL(9,C6:C10)</f>
        <v>908</v>
      </c>
      <c r="D11" s="98">
        <f>+SUBTOTAL(9,D6:D10)</f>
        <v>905</v>
      </c>
      <c r="E11" s="99">
        <f>+IFERROR(C11/D11-1,"-")</f>
        <v>3.3149171270718814E-3</v>
      </c>
      <c r="H11" s="97" t="s">
        <v>97</v>
      </c>
      <c r="I11" s="34"/>
      <c r="J11" s="34"/>
      <c r="K11" s="34"/>
      <c r="L11" s="34"/>
      <c r="M11" s="34"/>
      <c r="N11" s="34"/>
      <c r="O11" s="98">
        <f>+SUBTOTAL(9,O6:O10)</f>
        <v>984.57999999999993</v>
      </c>
      <c r="P11" s="98">
        <f t="shared" ref="P11:W11" si="3">+SUBTOTAL(9,P6:P10)</f>
        <v>974.04</v>
      </c>
      <c r="Q11" s="98">
        <f t="shared" si="3"/>
        <v>959.71770000000026</v>
      </c>
      <c r="R11" s="98">
        <f t="shared" si="3"/>
        <v>924.17000000000007</v>
      </c>
      <c r="S11" s="98">
        <f t="shared" si="3"/>
        <v>913.07999999999993</v>
      </c>
      <c r="T11" s="98">
        <f t="shared" si="3"/>
        <v>935</v>
      </c>
      <c r="U11" s="98">
        <f t="shared" si="3"/>
        <v>934</v>
      </c>
      <c r="V11" s="98">
        <f t="shared" si="3"/>
        <v>935.74</v>
      </c>
      <c r="W11" s="98">
        <f t="shared" si="3"/>
        <v>949.34</v>
      </c>
      <c r="X11" s="98">
        <f>+SUBTOTAL(9,X6:X10)</f>
        <v>950</v>
      </c>
      <c r="Y11" s="98">
        <f>+SUBTOTAL(9,Y6:Y10)</f>
        <v>918</v>
      </c>
      <c r="Z11" s="98">
        <f>+SUBTOTAL(9,Z6:Z10)</f>
        <v>906</v>
      </c>
      <c r="AA11" s="104"/>
      <c r="AB11" s="104"/>
    </row>
    <row r="12" spans="2:37" ht="13.5" customHeight="1">
      <c r="B12" s="1" t="s">
        <v>46</v>
      </c>
      <c r="C12" s="35">
        <v>20</v>
      </c>
      <c r="D12" s="234">
        <v>21</v>
      </c>
      <c r="E12" s="96">
        <f t="shared" si="0"/>
        <v>-4.7619047619047672E-2</v>
      </c>
      <c r="H12" s="1" t="s">
        <v>46</v>
      </c>
      <c r="I12" s="34">
        <v>35</v>
      </c>
      <c r="J12" s="34">
        <v>17</v>
      </c>
      <c r="K12" s="34">
        <v>13</v>
      </c>
      <c r="L12" s="34">
        <v>14</v>
      </c>
      <c r="M12" s="34">
        <v>15</v>
      </c>
      <c r="N12" s="34">
        <v>15</v>
      </c>
      <c r="O12" s="151">
        <v>14</v>
      </c>
      <c r="P12" s="151">
        <v>16</v>
      </c>
      <c r="Q12" s="151">
        <v>16</v>
      </c>
      <c r="R12" s="151">
        <v>16.399999999999999</v>
      </c>
      <c r="S12" s="151">
        <v>17</v>
      </c>
      <c r="T12" s="151">
        <v>17</v>
      </c>
      <c r="U12" s="151">
        <v>15</v>
      </c>
      <c r="V12" s="151">
        <v>18</v>
      </c>
      <c r="W12" s="151">
        <v>20.2</v>
      </c>
      <c r="X12" s="151">
        <v>17</v>
      </c>
      <c r="Y12" s="151">
        <v>17</v>
      </c>
      <c r="Z12" s="1">
        <v>19</v>
      </c>
    </row>
    <row r="13" spans="2:37" ht="13.5" customHeight="1">
      <c r="B13" s="1" t="s">
        <v>44</v>
      </c>
      <c r="C13" s="35">
        <v>144</v>
      </c>
      <c r="D13" s="234">
        <v>140.5</v>
      </c>
      <c r="E13" s="96">
        <f t="shared" si="0"/>
        <v>2.4911032028469782E-2</v>
      </c>
      <c r="H13" s="1" t="s">
        <v>44</v>
      </c>
      <c r="I13" s="34">
        <v>0</v>
      </c>
      <c r="J13" s="34">
        <v>0</v>
      </c>
      <c r="K13" s="34">
        <v>0</v>
      </c>
      <c r="L13" s="34">
        <v>0</v>
      </c>
      <c r="M13" s="34">
        <v>0</v>
      </c>
      <c r="N13" s="34">
        <v>0</v>
      </c>
      <c r="O13" s="151">
        <v>137</v>
      </c>
      <c r="P13" s="151">
        <v>141</v>
      </c>
      <c r="Q13" s="151">
        <v>146</v>
      </c>
      <c r="R13" s="151">
        <v>147</v>
      </c>
      <c r="S13" s="151">
        <v>151</v>
      </c>
      <c r="T13" s="151">
        <v>152</v>
      </c>
      <c r="U13" s="151">
        <v>152</v>
      </c>
      <c r="V13" s="151">
        <v>153</v>
      </c>
      <c r="W13" s="151">
        <v>148</v>
      </c>
      <c r="X13" s="151">
        <v>149</v>
      </c>
      <c r="Y13" s="151">
        <v>147</v>
      </c>
      <c r="Z13" s="1">
        <v>147</v>
      </c>
      <c r="AK13" s="1">
        <v>1225</v>
      </c>
    </row>
    <row r="14" spans="2:37" ht="13.5" customHeight="1">
      <c r="B14" s="1" t="s">
        <v>53</v>
      </c>
      <c r="C14" s="35">
        <v>15</v>
      </c>
      <c r="D14" s="234">
        <v>14</v>
      </c>
      <c r="E14" s="96">
        <f t="shared" si="0"/>
        <v>7.1428571428571397E-2</v>
      </c>
      <c r="H14" s="1" t="s">
        <v>53</v>
      </c>
      <c r="I14" s="34">
        <v>12</v>
      </c>
      <c r="J14" s="34">
        <v>11</v>
      </c>
      <c r="K14" s="34">
        <v>14</v>
      </c>
      <c r="L14" s="34">
        <v>14</v>
      </c>
      <c r="M14" s="34">
        <v>15</v>
      </c>
      <c r="N14" s="34">
        <v>14.25</v>
      </c>
      <c r="O14" s="151">
        <v>14</v>
      </c>
      <c r="P14" s="151">
        <v>14.25</v>
      </c>
      <c r="Q14" s="151">
        <v>14</v>
      </c>
      <c r="R14" s="151">
        <v>14.85</v>
      </c>
      <c r="S14" s="151">
        <v>14</v>
      </c>
      <c r="T14" s="151">
        <v>14</v>
      </c>
      <c r="U14" s="151">
        <v>14</v>
      </c>
      <c r="V14" s="151">
        <v>14</v>
      </c>
      <c r="W14" s="151">
        <v>14</v>
      </c>
      <c r="X14" s="151">
        <v>14</v>
      </c>
      <c r="Y14" s="151">
        <v>14</v>
      </c>
      <c r="Z14" s="1">
        <v>14</v>
      </c>
      <c r="AK14" s="1">
        <v>1190</v>
      </c>
    </row>
    <row r="15" spans="2:37" ht="13.5" customHeight="1">
      <c r="B15" s="1" t="s">
        <v>42</v>
      </c>
      <c r="C15" s="35">
        <v>34</v>
      </c>
      <c r="D15" s="234">
        <v>33</v>
      </c>
      <c r="E15" s="96">
        <f t="shared" si="0"/>
        <v>3.0303030303030276E-2</v>
      </c>
      <c r="H15" s="1" t="s">
        <v>42</v>
      </c>
      <c r="I15" s="34">
        <v>0</v>
      </c>
      <c r="J15" s="34">
        <v>0</v>
      </c>
      <c r="K15" s="34">
        <v>43</v>
      </c>
      <c r="L15" s="34">
        <v>43</v>
      </c>
      <c r="M15" s="34">
        <v>43</v>
      </c>
      <c r="N15" s="34">
        <v>43</v>
      </c>
      <c r="O15" s="151">
        <v>41</v>
      </c>
      <c r="P15" s="151">
        <v>44</v>
      </c>
      <c r="Q15" s="151">
        <v>42</v>
      </c>
      <c r="R15" s="151">
        <v>42</v>
      </c>
      <c r="S15" s="151">
        <v>42</v>
      </c>
      <c r="T15" s="151">
        <v>40</v>
      </c>
      <c r="U15" s="151">
        <v>39</v>
      </c>
      <c r="V15" s="151">
        <v>37</v>
      </c>
      <c r="W15" s="151">
        <v>38</v>
      </c>
      <c r="X15" s="151">
        <v>38</v>
      </c>
      <c r="Y15" s="151">
        <v>38</v>
      </c>
      <c r="Z15" s="1">
        <v>33</v>
      </c>
      <c r="AK15" s="1">
        <f>AK14-AK13</f>
        <v>-35</v>
      </c>
    </row>
    <row r="16" spans="2:37" ht="13.5" customHeight="1">
      <c r="B16" s="100" t="s">
        <v>57</v>
      </c>
      <c r="C16" s="98">
        <f>+SUBTOTAL(9,C6:C15)</f>
        <v>1121</v>
      </c>
      <c r="D16" s="235">
        <f>+SUBTOTAL(9,D6:D15)</f>
        <v>1113.5</v>
      </c>
      <c r="E16" s="99">
        <f t="shared" si="0"/>
        <v>6.7355186349349339E-3</v>
      </c>
      <c r="H16" s="100" t="s">
        <v>57</v>
      </c>
      <c r="I16" s="98">
        <f>+SUBTOTAL(9,I6:I14)</f>
        <v>1031.8499999999999</v>
      </c>
      <c r="J16" s="98">
        <f>+SUBTOTAL(9,J6:J14)</f>
        <v>980.46</v>
      </c>
      <c r="K16" s="98">
        <f>+SUBTOTAL(9,K6:K14)</f>
        <v>1025.4099999999999</v>
      </c>
      <c r="L16" s="98">
        <f>+SUBTOTAL(9,L6:L14)</f>
        <v>1043.42</v>
      </c>
      <c r="M16" s="98">
        <f>+SUBTOTAL(9,M6:M14)</f>
        <v>1033.52</v>
      </c>
      <c r="N16" s="98">
        <f t="shared" ref="N16:W16" si="4">+SUBTOTAL(9,N6:N15)</f>
        <v>1071.3800000000001</v>
      </c>
      <c r="O16" s="98">
        <f t="shared" si="4"/>
        <v>1190.58</v>
      </c>
      <c r="P16" s="98">
        <f t="shared" si="4"/>
        <v>1189.29</v>
      </c>
      <c r="Q16" s="98">
        <f t="shared" si="4"/>
        <v>1177.7177000000001</v>
      </c>
      <c r="R16" s="98">
        <f t="shared" si="4"/>
        <v>1144.42</v>
      </c>
      <c r="S16" s="98">
        <f t="shared" si="4"/>
        <v>1137.08</v>
      </c>
      <c r="T16" s="98">
        <f t="shared" si="4"/>
        <v>1158</v>
      </c>
      <c r="U16" s="98">
        <f t="shared" si="4"/>
        <v>1154</v>
      </c>
      <c r="V16" s="98">
        <f t="shared" si="4"/>
        <v>1157.74</v>
      </c>
      <c r="W16" s="98">
        <f t="shared" si="4"/>
        <v>1169.54</v>
      </c>
      <c r="X16" s="98">
        <f>+SUBTOTAL(9,X6:X15)</f>
        <v>1168</v>
      </c>
      <c r="Y16" s="98">
        <f>+SUBTOTAL(9,Y6:Y15)</f>
        <v>1134</v>
      </c>
      <c r="Z16" s="98">
        <f>+SUBTOTAL(9,Z6:Z15)</f>
        <v>1119</v>
      </c>
      <c r="AA16" s="104"/>
      <c r="AB16" s="104"/>
      <c r="AD16" s="34">
        <f>+T16-S16</f>
        <v>20.920000000000073</v>
      </c>
    </row>
    <row r="17" spans="2:37" ht="13.5" customHeight="1">
      <c r="B17" s="1" t="s">
        <v>43</v>
      </c>
      <c r="C17" s="35">
        <f>+AD17</f>
        <v>0</v>
      </c>
      <c r="D17" s="234">
        <v>8</v>
      </c>
      <c r="E17" s="96">
        <f t="shared" si="0"/>
        <v>-1</v>
      </c>
      <c r="H17" s="1" t="s">
        <v>43</v>
      </c>
      <c r="I17" s="34">
        <v>0</v>
      </c>
      <c r="J17" s="34">
        <v>0</v>
      </c>
      <c r="K17" s="34">
        <v>5</v>
      </c>
      <c r="L17" s="34">
        <v>7</v>
      </c>
      <c r="M17" s="34">
        <v>8</v>
      </c>
      <c r="N17" s="34">
        <v>8</v>
      </c>
      <c r="O17" s="151">
        <v>8</v>
      </c>
      <c r="P17" s="151">
        <v>8</v>
      </c>
      <c r="Q17" s="151">
        <v>9</v>
      </c>
      <c r="R17" s="151">
        <v>9</v>
      </c>
      <c r="S17" s="151">
        <v>9</v>
      </c>
      <c r="T17" s="151">
        <v>8</v>
      </c>
      <c r="U17" s="151">
        <v>8</v>
      </c>
      <c r="V17" s="151">
        <v>8</v>
      </c>
      <c r="W17" s="151">
        <v>8</v>
      </c>
      <c r="X17" s="151">
        <v>8</v>
      </c>
      <c r="Y17" s="151">
        <v>8</v>
      </c>
      <c r="Z17" s="1">
        <v>8</v>
      </c>
    </row>
    <row r="18" spans="2:37" ht="13.5" customHeight="1">
      <c r="B18" s="1" t="s">
        <v>45</v>
      </c>
      <c r="C18" s="35">
        <v>5.5</v>
      </c>
      <c r="D18" s="234">
        <v>6</v>
      </c>
      <c r="E18" s="96">
        <f t="shared" si="0"/>
        <v>-8.333333333333337E-2</v>
      </c>
      <c r="H18" s="1" t="s">
        <v>45</v>
      </c>
      <c r="I18" s="34">
        <v>0</v>
      </c>
      <c r="J18" s="34">
        <v>0</v>
      </c>
      <c r="K18" s="34">
        <v>3</v>
      </c>
      <c r="L18" s="34">
        <v>3</v>
      </c>
      <c r="M18" s="34">
        <v>4</v>
      </c>
      <c r="N18" s="34">
        <v>4</v>
      </c>
      <c r="O18" s="151">
        <v>4</v>
      </c>
      <c r="P18" s="151">
        <v>5</v>
      </c>
      <c r="Q18" s="151">
        <v>5</v>
      </c>
      <c r="R18" s="151">
        <v>6</v>
      </c>
      <c r="S18" s="151">
        <v>5</v>
      </c>
      <c r="T18" s="151">
        <v>5</v>
      </c>
      <c r="U18" s="151">
        <v>6</v>
      </c>
      <c r="V18" s="151">
        <v>6</v>
      </c>
      <c r="W18" s="151">
        <v>6</v>
      </c>
      <c r="X18" s="151">
        <v>6</v>
      </c>
      <c r="Y18" s="151">
        <v>6</v>
      </c>
      <c r="Z18" s="1">
        <v>6</v>
      </c>
    </row>
    <row r="19" spans="2:37" ht="13.5" customHeight="1">
      <c r="B19" s="1" t="s">
        <v>141</v>
      </c>
      <c r="C19" s="35">
        <v>5.5</v>
      </c>
      <c r="D19" s="234">
        <v>6</v>
      </c>
      <c r="E19" s="96">
        <f t="shared" si="0"/>
        <v>-8.333333333333337E-2</v>
      </c>
      <c r="H19" s="1" t="s">
        <v>141</v>
      </c>
      <c r="I19" s="34"/>
      <c r="J19" s="34"/>
      <c r="K19" s="34"/>
      <c r="L19" s="34">
        <v>6</v>
      </c>
      <c r="M19" s="34">
        <v>5</v>
      </c>
      <c r="N19" s="34">
        <v>6</v>
      </c>
      <c r="O19" s="151">
        <v>22</v>
      </c>
      <c r="P19" s="151">
        <v>20</v>
      </c>
      <c r="Q19" s="151">
        <v>8</v>
      </c>
      <c r="R19" s="151">
        <v>8</v>
      </c>
      <c r="S19" s="151">
        <v>7</v>
      </c>
      <c r="T19" s="151">
        <v>8</v>
      </c>
      <c r="U19" s="151">
        <v>5</v>
      </c>
      <c r="V19" s="151">
        <v>5</v>
      </c>
      <c r="W19" s="151">
        <v>6</v>
      </c>
      <c r="X19" s="151">
        <v>5</v>
      </c>
      <c r="Y19" s="151">
        <v>5</v>
      </c>
      <c r="Z19" s="1">
        <v>6</v>
      </c>
      <c r="AK19" s="1">
        <f>16/32</f>
        <v>0.5</v>
      </c>
    </row>
    <row r="20" spans="2:37" ht="13.5" customHeight="1">
      <c r="B20" s="233" t="s">
        <v>48</v>
      </c>
      <c r="C20" s="236">
        <f>+SUBTOTAL(9,C6:C19)</f>
        <v>1132</v>
      </c>
      <c r="D20" s="236">
        <f>+SUBTOTAL(9,D6:D19)</f>
        <v>1133.5</v>
      </c>
      <c r="E20" s="237">
        <f>+IFERROR(C20/D20-1,"-")</f>
        <v>-1.3233348037053894E-3</v>
      </c>
      <c r="H20" s="149" t="s">
        <v>48</v>
      </c>
      <c r="I20" s="150">
        <f t="shared" ref="I20:W20" si="5">+SUBTOTAL(9,I6:I19)</f>
        <v>1031.8499999999999</v>
      </c>
      <c r="J20" s="150">
        <f t="shared" si="5"/>
        <v>980.46</v>
      </c>
      <c r="K20" s="150">
        <f t="shared" si="5"/>
        <v>1076.4099999999999</v>
      </c>
      <c r="L20" s="150">
        <f t="shared" si="5"/>
        <v>1102.42</v>
      </c>
      <c r="M20" s="150">
        <f t="shared" si="5"/>
        <v>1093.52</v>
      </c>
      <c r="N20" s="150">
        <f t="shared" si="5"/>
        <v>1089.3800000000001</v>
      </c>
      <c r="O20" s="150">
        <f t="shared" si="5"/>
        <v>1224.58</v>
      </c>
      <c r="P20" s="150">
        <f t="shared" si="5"/>
        <v>1222.29</v>
      </c>
      <c r="Q20" s="150">
        <f t="shared" si="5"/>
        <v>1199.7177000000001</v>
      </c>
      <c r="R20" s="150">
        <f t="shared" si="5"/>
        <v>1167.42</v>
      </c>
      <c r="S20" s="150">
        <f t="shared" si="5"/>
        <v>1158.08</v>
      </c>
      <c r="T20" s="150">
        <f t="shared" si="5"/>
        <v>1179</v>
      </c>
      <c r="U20" s="150">
        <f t="shared" si="5"/>
        <v>1173</v>
      </c>
      <c r="V20" s="150">
        <f t="shared" si="5"/>
        <v>1176.74</v>
      </c>
      <c r="W20" s="150">
        <f t="shared" si="5"/>
        <v>1189.54</v>
      </c>
      <c r="X20" s="150">
        <f>+SUBTOTAL(9,X6:X19)</f>
        <v>1187</v>
      </c>
      <c r="Y20" s="150">
        <f>+SUBTOTAL(9,Y6:Y19)</f>
        <v>1153</v>
      </c>
      <c r="Z20" s="150">
        <f>+SUBTOTAL(9,Z6:Z19)</f>
        <v>1139</v>
      </c>
      <c r="AA20" s="150"/>
      <c r="AB20" s="150"/>
      <c r="AD20" s="5">
        <f>+S20/O20-1</f>
        <v>-5.430433291414194E-2</v>
      </c>
      <c r="AE20" s="34">
        <f>W20-O20</f>
        <v>-35.039999999999964</v>
      </c>
      <c r="AF20" s="34">
        <f>W20-S20</f>
        <v>31.460000000000036</v>
      </c>
      <c r="AG20" s="34">
        <f>O20-S20</f>
        <v>66.5</v>
      </c>
      <c r="AI20" s="52">
        <f>16/AF20</f>
        <v>0.50858232676414439</v>
      </c>
    </row>
    <row r="21" spans="2:37" ht="13.5" customHeight="1">
      <c r="D21" s="34">
        <f>D20-C20</f>
        <v>1.5</v>
      </c>
      <c r="I21" s="34"/>
      <c r="J21" s="34"/>
      <c r="K21" s="34"/>
      <c r="L21" s="4" t="e">
        <f>+#REF!-'FTE´S old'!L20</f>
        <v>#REF!</v>
      </c>
      <c r="M21" s="4" t="e">
        <f>+#REF!-'FTE´S old'!M20</f>
        <v>#REF!</v>
      </c>
      <c r="N21" s="4" t="e">
        <f>+#REF!-'FTE´S old'!N20</f>
        <v>#REF!</v>
      </c>
      <c r="O21" s="4" t="e">
        <f>+#REF!-'FTE´S old'!O20</f>
        <v>#REF!</v>
      </c>
      <c r="P21" s="4" t="e">
        <f>+#REF!-'FTE´S old'!P20</f>
        <v>#REF!</v>
      </c>
      <c r="Q21" s="4" t="e">
        <f>+#REF!-'FTE´S old'!Q20</f>
        <v>#REF!</v>
      </c>
      <c r="R21" s="4" t="e">
        <f>+#REF!-'FTE´S old'!R20</f>
        <v>#REF!</v>
      </c>
      <c r="S21" s="4" t="e">
        <f>+#REF!-'FTE´S old'!S20</f>
        <v>#REF!</v>
      </c>
      <c r="T21" s="4" t="e">
        <f>+#REF!-'FTE´S old'!T20</f>
        <v>#REF!</v>
      </c>
      <c r="U21" s="4" t="e">
        <f>+#REF!-'FTE´S old'!U20</f>
        <v>#REF!</v>
      </c>
      <c r="V21" s="4" t="e">
        <f>+#REF!-'FTE´S old'!V20</f>
        <v>#REF!</v>
      </c>
      <c r="W21" s="4" t="e">
        <f>+#REF!-'FTE´S old'!W20</f>
        <v>#REF!</v>
      </c>
      <c r="X21" s="4" t="e">
        <f>+#REF!-'FTE´S old'!X20</f>
        <v>#REF!</v>
      </c>
      <c r="Y21" s="4"/>
    </row>
    <row r="22" spans="2:37">
      <c r="T22" s="34">
        <f>+T20-O20</f>
        <v>-45.579999999999927</v>
      </c>
      <c r="X22" s="34">
        <f>+X20-O20</f>
        <v>-37.579999999999927</v>
      </c>
      <c r="Y22" s="34"/>
    </row>
    <row r="23" spans="2:37">
      <c r="D23" s="59"/>
      <c r="O23" s="1">
        <v>2010</v>
      </c>
      <c r="P23" s="345">
        <v>2011</v>
      </c>
      <c r="Q23" s="345"/>
      <c r="R23" s="345"/>
      <c r="S23" s="345"/>
      <c r="T23" s="345">
        <v>2012</v>
      </c>
      <c r="U23" s="345"/>
      <c r="V23" s="243"/>
      <c r="W23" s="243"/>
      <c r="X23" s="243"/>
      <c r="Y23" s="155"/>
    </row>
    <row r="24" spans="2:37">
      <c r="C24" s="5"/>
      <c r="K24" s="3" t="s">
        <v>96</v>
      </c>
      <c r="L24" s="9" t="s">
        <v>62</v>
      </c>
      <c r="M24" s="9" t="s">
        <v>63</v>
      </c>
      <c r="N24" s="9" t="s">
        <v>64</v>
      </c>
      <c r="O24" s="9" t="s">
        <v>133</v>
      </c>
      <c r="P24" s="9" t="s">
        <v>134</v>
      </c>
      <c r="Q24" s="9" t="s">
        <v>135</v>
      </c>
      <c r="R24" s="9" t="s">
        <v>136</v>
      </c>
      <c r="S24" s="9" t="s">
        <v>137</v>
      </c>
      <c r="T24" s="9" t="s">
        <v>138</v>
      </c>
      <c r="U24" s="9" t="s">
        <v>139</v>
      </c>
      <c r="V24" s="9" t="s">
        <v>140</v>
      </c>
      <c r="W24" s="9" t="s">
        <v>168</v>
      </c>
      <c r="X24" s="9" t="s">
        <v>232</v>
      </c>
      <c r="Y24" s="9" t="s">
        <v>236</v>
      </c>
      <c r="Z24" s="9" t="s">
        <v>263</v>
      </c>
      <c r="AA24" s="9"/>
      <c r="AB24" s="9"/>
    </row>
    <row r="25" spans="2:37">
      <c r="H25" s="1" t="s">
        <v>97</v>
      </c>
      <c r="K25" s="3" t="s">
        <v>97</v>
      </c>
      <c r="L25" s="4">
        <f>+L8</f>
        <v>938.23</v>
      </c>
      <c r="M25" s="4">
        <f>+M8</f>
        <v>927.52</v>
      </c>
      <c r="N25" s="4">
        <f>+N8</f>
        <v>930.54</v>
      </c>
      <c r="O25" s="4">
        <f>+O11</f>
        <v>984.57999999999993</v>
      </c>
      <c r="P25" s="4">
        <f t="shared" ref="P25:X25" si="6">+P11</f>
        <v>974.04</v>
      </c>
      <c r="Q25" s="4">
        <f t="shared" si="6"/>
        <v>959.71770000000026</v>
      </c>
      <c r="R25" s="4">
        <f t="shared" si="6"/>
        <v>924.17000000000007</v>
      </c>
      <c r="S25" s="4">
        <f t="shared" si="6"/>
        <v>913.07999999999993</v>
      </c>
      <c r="T25" s="4">
        <f t="shared" si="6"/>
        <v>935</v>
      </c>
      <c r="U25" s="4">
        <f t="shared" si="6"/>
        <v>934</v>
      </c>
      <c r="V25" s="4">
        <f t="shared" si="6"/>
        <v>935.74</v>
      </c>
      <c r="W25" s="4">
        <f t="shared" si="6"/>
        <v>949.34</v>
      </c>
      <c r="X25" s="4">
        <f t="shared" si="6"/>
        <v>950</v>
      </c>
      <c r="Y25" s="4">
        <v>918</v>
      </c>
      <c r="Z25" s="59" t="e">
        <f>#REF!</f>
        <v>#REF!</v>
      </c>
      <c r="AA25" s="59"/>
      <c r="AB25" s="59"/>
    </row>
    <row r="26" spans="2:37">
      <c r="H26" s="1" t="s">
        <v>241</v>
      </c>
      <c r="K26" s="3" t="s">
        <v>98</v>
      </c>
      <c r="L26" s="4">
        <v>1058.52</v>
      </c>
      <c r="M26" s="4">
        <f>+M20</f>
        <v>1093.52</v>
      </c>
      <c r="N26" s="4">
        <f>+N20</f>
        <v>1089.3800000000001</v>
      </c>
      <c r="Q26" s="4">
        <f>Q27-Q25</f>
        <v>239.99999999999989</v>
      </c>
      <c r="R26" s="4">
        <f t="shared" ref="R26:X26" si="7">R27-R25</f>
        <v>243.25</v>
      </c>
      <c r="S26" s="4">
        <f t="shared" si="7"/>
        <v>245</v>
      </c>
      <c r="T26" s="4">
        <f t="shared" si="7"/>
        <v>244</v>
      </c>
      <c r="U26" s="4">
        <f t="shared" si="7"/>
        <v>239</v>
      </c>
      <c r="V26" s="4">
        <f t="shared" si="7"/>
        <v>241</v>
      </c>
      <c r="W26" s="4">
        <f t="shared" si="7"/>
        <v>240.19999999999993</v>
      </c>
      <c r="X26" s="4">
        <f t="shared" si="7"/>
        <v>237</v>
      </c>
      <c r="Y26" s="4">
        <v>253</v>
      </c>
      <c r="Z26" s="4" t="e">
        <f>Z27-Z25</f>
        <v>#REF!</v>
      </c>
      <c r="AA26" s="4"/>
      <c r="AB26" s="4"/>
    </row>
    <row r="27" spans="2:37" ht="15.75" customHeight="1">
      <c r="H27" s="1" t="s">
        <v>48</v>
      </c>
      <c r="N27" s="4"/>
      <c r="O27" s="4">
        <f t="shared" ref="O27:X27" si="8">+O20</f>
        <v>1224.58</v>
      </c>
      <c r="P27" s="4">
        <f t="shared" si="8"/>
        <v>1222.29</v>
      </c>
      <c r="Q27" s="4">
        <f t="shared" si="8"/>
        <v>1199.7177000000001</v>
      </c>
      <c r="R27" s="4">
        <f t="shared" si="8"/>
        <v>1167.42</v>
      </c>
      <c r="S27" s="4">
        <f t="shared" si="8"/>
        <v>1158.08</v>
      </c>
      <c r="T27" s="4">
        <f t="shared" si="8"/>
        <v>1179</v>
      </c>
      <c r="U27" s="4">
        <f t="shared" si="8"/>
        <v>1173</v>
      </c>
      <c r="V27" s="4">
        <f t="shared" si="8"/>
        <v>1176.74</v>
      </c>
      <c r="W27" s="4">
        <f t="shared" si="8"/>
        <v>1189.54</v>
      </c>
      <c r="X27" s="4">
        <f t="shared" si="8"/>
        <v>1187</v>
      </c>
      <c r="Y27" s="4" t="e">
        <f>#REF!</f>
        <v>#REF!</v>
      </c>
      <c r="Z27" s="4" t="e">
        <f>#REF!</f>
        <v>#REF!</v>
      </c>
      <c r="AA27" s="4"/>
      <c r="AB27" s="4"/>
    </row>
    <row r="28" spans="2:37" ht="13.5" customHeight="1">
      <c r="Q28" s="5">
        <f>+S25/O25-1</f>
        <v>-7.2619797273964504E-2</v>
      </c>
      <c r="R28" s="5"/>
    </row>
    <row r="29" spans="2:37" ht="13.5" customHeight="1">
      <c r="P29" s="7" t="s">
        <v>84</v>
      </c>
      <c r="Y29" s="4" t="e">
        <f>W27-Y27</f>
        <v>#REF!</v>
      </c>
    </row>
    <row r="30" spans="2:37" ht="13.5" customHeight="1">
      <c r="Y30" s="4" t="e">
        <f>Q27-Y27</f>
        <v>#REF!</v>
      </c>
    </row>
    <row r="31" spans="2:37" ht="13.5" customHeight="1">
      <c r="Y31" s="34" t="e">
        <f>D20-Y27</f>
        <v>#REF!</v>
      </c>
    </row>
    <row r="47" spans="35:37">
      <c r="AI47" s="7"/>
      <c r="AJ47" s="7"/>
      <c r="AK47" s="7"/>
    </row>
    <row r="48" spans="35:37">
      <c r="AI48" s="34"/>
      <c r="AJ48" s="34"/>
      <c r="AK48" s="34"/>
    </row>
    <row r="49" spans="32:37">
      <c r="AI49" s="34"/>
      <c r="AJ49" s="34"/>
      <c r="AK49" s="34"/>
    </row>
    <row r="51" spans="32:37">
      <c r="AG51" s="101"/>
      <c r="AH51" s="101"/>
      <c r="AI51" s="101"/>
      <c r="AJ51" s="101"/>
      <c r="AK51" s="101"/>
    </row>
    <row r="52" spans="32:37">
      <c r="AF52" s="7"/>
      <c r="AG52" s="4"/>
      <c r="AH52" s="4"/>
      <c r="AI52" s="4"/>
      <c r="AJ52" s="4"/>
      <c r="AK52" s="4"/>
    </row>
    <row r="53" spans="32:37">
      <c r="AF53" s="7"/>
      <c r="AG53" s="4"/>
      <c r="AH53" s="4"/>
      <c r="AI53" s="4"/>
      <c r="AJ53" s="4"/>
      <c r="AK53" s="4"/>
    </row>
    <row r="69" spans="18:44" ht="15" customHeight="1"/>
    <row r="70" spans="18:44">
      <c r="AJ70" s="102"/>
      <c r="AK70" s="102"/>
      <c r="AL70" s="102">
        <v>2010</v>
      </c>
      <c r="AM70" s="345">
        <v>2011</v>
      </c>
      <c r="AN70" s="345"/>
      <c r="AO70" s="345"/>
      <c r="AP70" s="345"/>
      <c r="AQ70" s="345">
        <v>2012</v>
      </c>
      <c r="AR70" s="345"/>
    </row>
    <row r="71" spans="18:44">
      <c r="AI71" s="103" t="s">
        <v>112</v>
      </c>
      <c r="AJ71" s="103" t="s">
        <v>113</v>
      </c>
      <c r="AK71" s="103" t="s">
        <v>114</v>
      </c>
      <c r="AL71" s="103" t="s">
        <v>115</v>
      </c>
      <c r="AM71" s="103" t="s">
        <v>112</v>
      </c>
      <c r="AN71" s="103" t="s">
        <v>113</v>
      </c>
      <c r="AO71" s="103" t="s">
        <v>114</v>
      </c>
      <c r="AP71" s="103" t="s">
        <v>115</v>
      </c>
      <c r="AQ71" s="103" t="s">
        <v>112</v>
      </c>
      <c r="AR71" s="103" t="s">
        <v>113</v>
      </c>
    </row>
    <row r="72" spans="18:44">
      <c r="X72" s="1">
        <f>743+241+255+203+175+167+606</f>
        <v>2390</v>
      </c>
      <c r="AH72" s="7" t="s">
        <v>80</v>
      </c>
      <c r="AI72" s="4" t="e">
        <f>-#REF!</f>
        <v>#REF!</v>
      </c>
      <c r="AJ72" s="4" t="e">
        <f>-#REF!</f>
        <v>#REF!</v>
      </c>
      <c r="AK72" s="4" t="e">
        <f>-#REF!</f>
        <v>#REF!</v>
      </c>
      <c r="AL72" s="4" t="e">
        <f>-#REF!</f>
        <v>#REF!</v>
      </c>
      <c r="AM72" s="4" t="e">
        <f>-#REF!</f>
        <v>#REF!</v>
      </c>
      <c r="AN72" s="4" t="e">
        <f>-#REF!</f>
        <v>#REF!</v>
      </c>
      <c r="AO72" s="4" t="e">
        <f>-#REF!</f>
        <v>#REF!</v>
      </c>
      <c r="AP72" s="4" t="e">
        <f>-#REF!</f>
        <v>#REF!</v>
      </c>
      <c r="AQ72" s="4" t="e">
        <f>-#REF!</f>
        <v>#REF!</v>
      </c>
      <c r="AR72" s="4" t="e">
        <f>-#REF!</f>
        <v>#REF!</v>
      </c>
    </row>
    <row r="73" spans="18:44">
      <c r="AH73" s="7" t="s">
        <v>102</v>
      </c>
      <c r="AI73" s="4" t="e">
        <f>+#REF!</f>
        <v>#REF!</v>
      </c>
      <c r="AJ73" s="4" t="e">
        <f>+#REF!</f>
        <v>#REF!</v>
      </c>
      <c r="AK73" s="4" t="e">
        <f>+#REF!</f>
        <v>#REF!</v>
      </c>
      <c r="AL73" s="4" t="e">
        <f>+#REF!</f>
        <v>#REF!</v>
      </c>
      <c r="AM73" s="4" t="e">
        <f>+#REF!</f>
        <v>#REF!</v>
      </c>
      <c r="AN73" s="4" t="e">
        <f>+#REF!</f>
        <v>#REF!</v>
      </c>
      <c r="AO73" s="4" t="e">
        <f>+#REF!</f>
        <v>#REF!</v>
      </c>
      <c r="AP73" s="4" t="e">
        <f>+#REF!</f>
        <v>#REF!</v>
      </c>
      <c r="AQ73" s="4" t="e">
        <f>+#REF!</f>
        <v>#REF!</v>
      </c>
      <c r="AR73" s="4" t="e">
        <f>+#REF!</f>
        <v>#REF!</v>
      </c>
    </row>
    <row r="76" spans="18:44">
      <c r="R76" s="93"/>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40625" defaultRowHeight="13.5" customHeight="1"/>
  <cols>
    <col min="1" max="1" width="14" style="10" customWidth="1"/>
    <col min="2" max="2" width="29.7109375" style="10" customWidth="1"/>
    <col min="3" max="8" width="8.7109375" style="10" customWidth="1"/>
    <col min="9" max="9" width="8.7109375" style="11" customWidth="1"/>
    <col min="10" max="24" width="8.7109375" style="10" customWidth="1"/>
    <col min="25" max="16384" width="9.140625" style="10"/>
  </cols>
  <sheetData>
    <row r="2" spans="2:24" ht="15.75" customHeight="1">
      <c r="B2" s="77" t="s">
        <v>24</v>
      </c>
      <c r="C2" s="77"/>
      <c r="D2" s="77"/>
      <c r="E2" s="77"/>
      <c r="F2" s="77"/>
      <c r="G2" s="77"/>
      <c r="H2" s="77"/>
      <c r="I2" s="77"/>
      <c r="J2" s="77"/>
      <c r="K2" s="77"/>
      <c r="L2" s="77"/>
      <c r="M2" s="77"/>
      <c r="N2" s="77"/>
      <c r="O2" s="77"/>
      <c r="P2" s="77"/>
      <c r="Q2" s="77"/>
      <c r="R2" s="77"/>
      <c r="S2" s="77"/>
      <c r="T2" s="77"/>
      <c r="U2" s="77"/>
      <c r="V2" s="77"/>
      <c r="W2" s="77"/>
      <c r="X2" s="77"/>
    </row>
    <row r="3" spans="2:24" ht="13.5" customHeight="1">
      <c r="B3" s="10" t="s">
        <v>22</v>
      </c>
      <c r="C3" s="172" t="s">
        <v>78</v>
      </c>
      <c r="D3" s="172" t="s">
        <v>72</v>
      </c>
      <c r="E3" s="172" t="s">
        <v>73</v>
      </c>
      <c r="F3" s="172" t="s">
        <v>85</v>
      </c>
      <c r="G3" s="173" t="s">
        <v>62</v>
      </c>
      <c r="H3" s="173" t="s">
        <v>63</v>
      </c>
      <c r="I3" s="173" t="s">
        <v>64</v>
      </c>
      <c r="J3" s="173" t="s">
        <v>65</v>
      </c>
      <c r="K3" s="173" t="s">
        <v>66</v>
      </c>
      <c r="L3" s="173" t="s">
        <v>67</v>
      </c>
      <c r="M3" s="173" t="s">
        <v>68</v>
      </c>
      <c r="N3" s="173" t="s">
        <v>69</v>
      </c>
      <c r="O3" s="173" t="s">
        <v>111</v>
      </c>
      <c r="P3" s="173" t="s">
        <v>125</v>
      </c>
      <c r="Q3" s="173" t="s">
        <v>131</v>
      </c>
      <c r="R3" s="173" t="s">
        <v>156</v>
      </c>
      <c r="S3" s="173" t="s">
        <v>230</v>
      </c>
      <c r="T3" s="173" t="s">
        <v>234</v>
      </c>
      <c r="U3" s="173" t="s">
        <v>261</v>
      </c>
      <c r="V3" s="173" t="s">
        <v>278</v>
      </c>
      <c r="W3" s="173" t="s">
        <v>279</v>
      </c>
      <c r="X3" s="173" t="s">
        <v>280</v>
      </c>
    </row>
    <row r="4" spans="2:24" ht="13.5" customHeight="1">
      <c r="B4" s="10" t="s">
        <v>30</v>
      </c>
      <c r="D4" s="63"/>
      <c r="E4" s="56">
        <v>354780</v>
      </c>
      <c r="F4" s="56">
        <v>467604</v>
      </c>
      <c r="G4" s="56"/>
      <c r="H4" s="56">
        <v>460811</v>
      </c>
      <c r="I4" s="56">
        <v>439140</v>
      </c>
      <c r="J4" s="56">
        <v>455173</v>
      </c>
      <c r="K4" s="56">
        <v>431087</v>
      </c>
      <c r="L4" s="56">
        <v>452388</v>
      </c>
      <c r="M4" s="56">
        <v>444876</v>
      </c>
      <c r="N4" s="56">
        <v>574111</v>
      </c>
      <c r="O4" s="56">
        <v>591426</v>
      </c>
      <c r="P4" s="56">
        <v>591041</v>
      </c>
      <c r="Q4" s="56">
        <v>587117</v>
      </c>
      <c r="R4" s="56">
        <f>383768+195273</f>
        <v>579041</v>
      </c>
      <c r="S4" s="56">
        <v>571967.80439499998</v>
      </c>
      <c r="T4" s="56">
        <v>36698</v>
      </c>
      <c r="U4" s="56">
        <v>37273</v>
      </c>
      <c r="V4" s="56">
        <v>37874</v>
      </c>
      <c r="W4" s="56">
        <v>350884</v>
      </c>
      <c r="X4" s="56" t="e">
        <v>#NAME?</v>
      </c>
    </row>
    <row r="5" spans="2:24" ht="13.5" customHeight="1">
      <c r="B5" s="10" t="s">
        <v>254</v>
      </c>
      <c r="D5" s="63"/>
      <c r="E5" s="56">
        <v>-28736</v>
      </c>
      <c r="F5" s="56">
        <v>-28736</v>
      </c>
      <c r="G5" s="56"/>
      <c r="H5" s="56">
        <v>-32808</v>
      </c>
      <c r="I5" s="56">
        <v>-29512</v>
      </c>
      <c r="J5" s="56">
        <v>-41843</v>
      </c>
      <c r="K5" s="56">
        <v>-37402</v>
      </c>
      <c r="L5" s="56">
        <v>-40691</v>
      </c>
      <c r="M5" s="56">
        <v>-43242</v>
      </c>
      <c r="N5" s="56">
        <v>-56289</v>
      </c>
      <c r="O5" s="56">
        <v>-52736</v>
      </c>
      <c r="P5" s="56">
        <v>-57152</v>
      </c>
      <c r="Q5" s="56">
        <v>-59806</v>
      </c>
      <c r="R5" s="56">
        <v>-59781</v>
      </c>
      <c r="S5" s="56">
        <v>-53328</v>
      </c>
      <c r="T5" s="56">
        <v>11276</v>
      </c>
      <c r="U5" s="56">
        <v>10764</v>
      </c>
      <c r="V5" s="56">
        <v>12174</v>
      </c>
      <c r="W5" s="56">
        <v>10430</v>
      </c>
      <c r="X5" s="56" t="e">
        <v>#NAME?</v>
      </c>
    </row>
    <row r="6" spans="2:24" ht="13.5" customHeight="1">
      <c r="B6" s="10" t="s">
        <v>245</v>
      </c>
      <c r="D6" s="63"/>
      <c r="E6" s="56"/>
      <c r="F6" s="56"/>
      <c r="G6" s="56"/>
      <c r="H6" s="56"/>
      <c r="I6" s="56"/>
      <c r="J6" s="56"/>
      <c r="K6" s="56"/>
      <c r="L6" s="56"/>
      <c r="M6" s="56"/>
      <c r="N6" s="56"/>
      <c r="O6" s="56"/>
      <c r="P6" s="56"/>
      <c r="Q6" s="56"/>
      <c r="R6" s="56"/>
      <c r="S6" s="56"/>
      <c r="T6" s="56">
        <v>207313</v>
      </c>
      <c r="U6" s="56">
        <v>212014</v>
      </c>
      <c r="V6" s="56">
        <v>266168</v>
      </c>
      <c r="W6" s="56">
        <v>267791</v>
      </c>
      <c r="X6" s="56" t="e">
        <v>#NAME?</v>
      </c>
    </row>
    <row r="7" spans="2:24" ht="13.5" customHeight="1">
      <c r="B7" s="10" t="s">
        <v>25</v>
      </c>
      <c r="D7" s="63"/>
      <c r="E7" s="56"/>
      <c r="F7" s="56"/>
      <c r="G7" s="56"/>
      <c r="H7" s="56"/>
      <c r="I7" s="56"/>
      <c r="J7" s="56"/>
      <c r="K7" s="56"/>
      <c r="L7" s="56"/>
      <c r="M7" s="56"/>
      <c r="N7" s="56"/>
      <c r="O7" s="56"/>
      <c r="P7" s="56"/>
      <c r="Q7" s="56"/>
      <c r="R7" s="56"/>
      <c r="S7" s="56"/>
      <c r="T7" s="56">
        <v>545</v>
      </c>
      <c r="U7" s="56">
        <v>550</v>
      </c>
      <c r="V7" s="56">
        <v>531</v>
      </c>
      <c r="W7" s="56">
        <v>521</v>
      </c>
      <c r="X7" s="56" t="e">
        <v>#NAME?</v>
      </c>
    </row>
    <row r="8" spans="2:24" ht="13.5" customHeight="1">
      <c r="B8" s="10" t="s">
        <v>32</v>
      </c>
      <c r="D8" s="63"/>
      <c r="E8" s="56">
        <v>31673</v>
      </c>
      <c r="F8" s="56">
        <v>31673</v>
      </c>
      <c r="G8" s="56"/>
      <c r="H8" s="56">
        <v>38006</v>
      </c>
      <c r="I8" s="56">
        <v>35306</v>
      </c>
      <c r="J8" s="56">
        <v>37390</v>
      </c>
      <c r="K8" s="56">
        <v>38295</v>
      </c>
      <c r="L8" s="56">
        <v>35470</v>
      </c>
      <c r="M8" s="56">
        <v>41886</v>
      </c>
      <c r="N8" s="56">
        <v>43178</v>
      </c>
      <c r="O8" s="56">
        <v>44881</v>
      </c>
      <c r="P8" s="56">
        <v>44453</v>
      </c>
      <c r="Q8" s="56">
        <v>45173</v>
      </c>
      <c r="R8" s="56">
        <f>35706+11071</f>
        <v>46777</v>
      </c>
      <c r="S8" s="56">
        <v>46345</v>
      </c>
      <c r="T8" s="56">
        <v>354769</v>
      </c>
      <c r="U8" s="56">
        <v>357721</v>
      </c>
      <c r="V8" s="56">
        <v>348253</v>
      </c>
      <c r="W8" s="56">
        <v>350884</v>
      </c>
      <c r="X8" s="56" t="e">
        <v>#NAME?</v>
      </c>
    </row>
    <row r="9" spans="2:24" ht="13.5" customHeight="1">
      <c r="B9" s="10" t="s">
        <v>31</v>
      </c>
      <c r="D9" s="63"/>
      <c r="E9" s="56">
        <v>17</v>
      </c>
      <c r="F9" s="56">
        <v>17</v>
      </c>
      <c r="G9" s="56"/>
      <c r="H9" s="56">
        <v>12</v>
      </c>
      <c r="I9" s="56">
        <v>506</v>
      </c>
      <c r="J9" s="56">
        <v>499</v>
      </c>
      <c r="K9" s="56">
        <v>525</v>
      </c>
      <c r="L9" s="56">
        <v>548</v>
      </c>
      <c r="M9" s="56">
        <v>554</v>
      </c>
      <c r="N9" s="56">
        <v>550</v>
      </c>
      <c r="O9" s="56">
        <v>583</v>
      </c>
      <c r="P9" s="56">
        <v>544</v>
      </c>
      <c r="Q9" s="56">
        <v>549</v>
      </c>
      <c r="R9" s="56">
        <v>573</v>
      </c>
      <c r="S9" s="56">
        <v>541</v>
      </c>
      <c r="T9" s="56">
        <v>-43344</v>
      </c>
      <c r="U9" s="56">
        <v>-42118</v>
      </c>
      <c r="V9" s="56">
        <v>-29226</v>
      </c>
      <c r="W9" s="56">
        <v>-29506</v>
      </c>
      <c r="X9" s="56" t="e">
        <v>#NAME?</v>
      </c>
    </row>
    <row r="10" spans="2:24" ht="13.5" customHeight="1">
      <c r="B10" s="77" t="s">
        <v>87</v>
      </c>
      <c r="C10" s="80">
        <f t="shared" ref="C10:X10" si="0">+SUM(C4:C9)</f>
        <v>0</v>
      </c>
      <c r="D10" s="80">
        <f t="shared" si="0"/>
        <v>0</v>
      </c>
      <c r="E10" s="80">
        <f t="shared" si="0"/>
        <v>357734</v>
      </c>
      <c r="F10" s="80">
        <f t="shared" si="0"/>
        <v>470558</v>
      </c>
      <c r="G10" s="80">
        <f t="shared" si="0"/>
        <v>0</v>
      </c>
      <c r="H10" s="80">
        <f t="shared" si="0"/>
        <v>466021</v>
      </c>
      <c r="I10" s="80">
        <f t="shared" si="0"/>
        <v>445440</v>
      </c>
      <c r="J10" s="80">
        <f t="shared" si="0"/>
        <v>451219</v>
      </c>
      <c r="K10" s="80">
        <f t="shared" si="0"/>
        <v>432505</v>
      </c>
      <c r="L10" s="80">
        <f t="shared" si="0"/>
        <v>447715</v>
      </c>
      <c r="M10" s="80">
        <f t="shared" si="0"/>
        <v>444074</v>
      </c>
      <c r="N10" s="80">
        <f t="shared" si="0"/>
        <v>561550</v>
      </c>
      <c r="O10" s="80">
        <f t="shared" si="0"/>
        <v>584154</v>
      </c>
      <c r="P10" s="80">
        <f t="shared" si="0"/>
        <v>578886</v>
      </c>
      <c r="Q10" s="80">
        <f t="shared" si="0"/>
        <v>573033</v>
      </c>
      <c r="R10" s="80">
        <f t="shared" si="0"/>
        <v>566610</v>
      </c>
      <c r="S10" s="80">
        <f t="shared" si="0"/>
        <v>565525.80439499998</v>
      </c>
      <c r="T10" s="80">
        <f t="shared" si="0"/>
        <v>567257</v>
      </c>
      <c r="U10" s="80">
        <f t="shared" si="0"/>
        <v>576204</v>
      </c>
      <c r="V10" s="80">
        <f t="shared" si="0"/>
        <v>635774</v>
      </c>
      <c r="W10" s="80">
        <f t="shared" si="0"/>
        <v>951004</v>
      </c>
      <c r="X10" s="80" t="e">
        <f t="shared" si="0"/>
        <v>#NAME?</v>
      </c>
    </row>
    <row r="11" spans="2:24" ht="13.5" customHeight="1">
      <c r="C11" s="41"/>
      <c r="D11" s="41"/>
      <c r="E11" s="41"/>
      <c r="F11" s="41"/>
      <c r="G11" s="41"/>
      <c r="H11" s="63" t="e">
        <f>+H10-#REF!</f>
        <v>#REF!</v>
      </c>
      <c r="I11" s="63" t="e">
        <f>+I10-#REF!</f>
        <v>#REF!</v>
      </c>
      <c r="J11" s="63" t="e">
        <f>+J10-#REF!</f>
        <v>#REF!</v>
      </c>
      <c r="K11" s="63" t="e">
        <f>+K10-#REF!</f>
        <v>#REF!</v>
      </c>
      <c r="L11" s="63" t="e">
        <f>+L10-#REF!</f>
        <v>#REF!</v>
      </c>
      <c r="M11" s="63" t="e">
        <f>+M10-#REF!</f>
        <v>#REF!</v>
      </c>
      <c r="N11" s="63" t="e">
        <f>+N10-#REF!</f>
        <v>#REF!</v>
      </c>
    </row>
    <row r="12" spans="2:24" ht="15.75" customHeight="1">
      <c r="B12" s="77" t="s">
        <v>23</v>
      </c>
      <c r="C12" s="77"/>
      <c r="D12" s="77"/>
      <c r="E12" s="77"/>
      <c r="F12" s="77"/>
      <c r="G12" s="77"/>
      <c r="H12" s="77"/>
      <c r="I12" s="77"/>
      <c r="J12" s="77"/>
      <c r="K12" s="77"/>
      <c r="L12" s="77"/>
      <c r="M12" s="77"/>
      <c r="N12" s="77"/>
      <c r="O12" s="77"/>
      <c r="P12" s="77"/>
      <c r="Q12" s="77"/>
      <c r="R12" s="77"/>
      <c r="S12" s="77"/>
      <c r="T12" s="77"/>
      <c r="U12" s="77"/>
      <c r="V12" s="77"/>
      <c r="W12" s="77"/>
      <c r="X12" s="77"/>
    </row>
    <row r="13" spans="2:24" ht="13.5" customHeight="1">
      <c r="B13" s="10" t="s">
        <v>22</v>
      </c>
      <c r="C13" s="172" t="s">
        <v>78</v>
      </c>
      <c r="D13" s="172" t="s">
        <v>72</v>
      </c>
      <c r="E13" s="172" t="s">
        <v>73</v>
      </c>
      <c r="F13" s="172" t="s">
        <v>85</v>
      </c>
      <c r="G13" s="173" t="s">
        <v>62</v>
      </c>
      <c r="H13" s="173" t="s">
        <v>63</v>
      </c>
      <c r="I13" s="173" t="s">
        <v>64</v>
      </c>
      <c r="J13" s="173" t="s">
        <v>65</v>
      </c>
      <c r="K13" s="173" t="s">
        <v>66</v>
      </c>
      <c r="L13" s="173" t="s">
        <v>67</v>
      </c>
      <c r="M13" s="173" t="s">
        <v>68</v>
      </c>
      <c r="N13" s="173" t="s">
        <v>69</v>
      </c>
      <c r="O13" s="173" t="s">
        <v>111</v>
      </c>
      <c r="P13" s="173" t="s">
        <v>125</v>
      </c>
      <c r="Q13" s="173" t="s">
        <v>131</v>
      </c>
      <c r="R13" s="173" t="s">
        <v>156</v>
      </c>
      <c r="S13" s="173" t="s">
        <v>230</v>
      </c>
      <c r="T13" s="173" t="str">
        <f>+T3</f>
        <v>Q2 13</v>
      </c>
      <c r="U13" s="173" t="s">
        <v>261</v>
      </c>
      <c r="V13" s="173" t="s">
        <v>278</v>
      </c>
      <c r="W13" s="173" t="s">
        <v>279</v>
      </c>
      <c r="X13" s="173" t="s">
        <v>280</v>
      </c>
    </row>
    <row r="14" spans="2:24" ht="13.5" customHeight="1">
      <c r="B14" s="10" t="s">
        <v>90</v>
      </c>
      <c r="C14" s="63"/>
      <c r="D14" s="63"/>
      <c r="E14" s="63">
        <v>24037</v>
      </c>
      <c r="F14" s="63"/>
      <c r="G14" s="63"/>
      <c r="H14" s="63"/>
      <c r="I14" s="63"/>
      <c r="J14" s="63">
        <v>57707</v>
      </c>
      <c r="K14" s="63">
        <v>60169</v>
      </c>
      <c r="L14" s="63">
        <v>55419</v>
      </c>
      <c r="M14" s="63">
        <v>49001</v>
      </c>
      <c r="N14" s="63">
        <v>62175</v>
      </c>
      <c r="O14" s="63">
        <v>62065</v>
      </c>
      <c r="P14" s="63">
        <v>67951</v>
      </c>
      <c r="Q14" s="63">
        <v>74051</v>
      </c>
      <c r="R14" s="63">
        <v>84164</v>
      </c>
      <c r="S14" s="63">
        <v>72254</v>
      </c>
      <c r="T14" s="63">
        <v>72254</v>
      </c>
      <c r="U14" s="63">
        <v>78054</v>
      </c>
      <c r="V14" s="56">
        <v>70671</v>
      </c>
      <c r="W14" s="56">
        <v>60429</v>
      </c>
      <c r="X14" s="56" t="e">
        <v>#NAME?</v>
      </c>
    </row>
    <row r="15" spans="2:24" ht="13.5" customHeight="1">
      <c r="B15" s="10" t="s">
        <v>91</v>
      </c>
      <c r="C15" s="63"/>
      <c r="D15" s="63"/>
      <c r="E15" s="63">
        <v>4733</v>
      </c>
      <c r="F15" s="63"/>
      <c r="G15" s="63"/>
      <c r="H15" s="63"/>
      <c r="I15" s="63"/>
      <c r="J15" s="63">
        <v>1294</v>
      </c>
      <c r="K15" s="63">
        <v>16548</v>
      </c>
      <c r="L15" s="63">
        <v>10646</v>
      </c>
      <c r="M15" s="63">
        <v>8897</v>
      </c>
      <c r="N15" s="63">
        <v>4720</v>
      </c>
      <c r="O15" s="10">
        <v>853</v>
      </c>
      <c r="P15" s="10">
        <v>822</v>
      </c>
      <c r="Q15" s="10">
        <v>10830</v>
      </c>
      <c r="R15" s="63">
        <v>13763</v>
      </c>
      <c r="S15" s="63">
        <v>24817</v>
      </c>
      <c r="T15" s="63">
        <v>24817</v>
      </c>
      <c r="U15" s="63">
        <v>29394</v>
      </c>
      <c r="V15" s="56">
        <v>26197</v>
      </c>
      <c r="W15" s="56">
        <v>31142</v>
      </c>
      <c r="X15" s="56" t="e">
        <v>#NAME?</v>
      </c>
    </row>
    <row r="16" spans="2:24" ht="13.5" customHeight="1">
      <c r="B16" s="10" t="s">
        <v>30</v>
      </c>
      <c r="C16" s="63"/>
      <c r="D16" s="63"/>
      <c r="E16" s="63">
        <v>4074</v>
      </c>
      <c r="F16" s="63"/>
      <c r="G16" s="63"/>
      <c r="H16" s="63"/>
      <c r="I16" s="63"/>
      <c r="J16" s="63">
        <v>29</v>
      </c>
      <c r="K16" s="63">
        <v>90</v>
      </c>
      <c r="L16" s="63">
        <v>47</v>
      </c>
      <c r="M16" s="63">
        <v>17</v>
      </c>
      <c r="N16" s="63">
        <v>19</v>
      </c>
      <c r="O16" s="10">
        <v>1</v>
      </c>
      <c r="P16" s="10">
        <v>8</v>
      </c>
      <c r="Q16" s="10">
        <v>8</v>
      </c>
      <c r="R16" s="63">
        <v>0</v>
      </c>
      <c r="S16" s="63">
        <v>0</v>
      </c>
      <c r="T16" s="63">
        <v>0</v>
      </c>
      <c r="U16" s="63">
        <v>0</v>
      </c>
      <c r="V16" s="56">
        <v>0</v>
      </c>
      <c r="W16" s="56">
        <v>0</v>
      </c>
      <c r="X16" s="56"/>
    </row>
    <row r="17" spans="2:24" ht="13.5" customHeight="1">
      <c r="B17" s="10" t="s">
        <v>32</v>
      </c>
      <c r="C17" s="63"/>
      <c r="D17" s="63"/>
      <c r="E17" s="63">
        <v>6353</v>
      </c>
      <c r="F17" s="63"/>
      <c r="G17" s="63"/>
      <c r="H17" s="63"/>
      <c r="I17" s="63"/>
      <c r="J17" s="63">
        <v>10175</v>
      </c>
      <c r="K17" s="63">
        <v>9607</v>
      </c>
      <c r="L17" s="63">
        <v>6502</v>
      </c>
      <c r="M17" s="63">
        <v>3042</v>
      </c>
      <c r="N17" s="63">
        <v>2963</v>
      </c>
      <c r="O17" s="10">
        <v>3839</v>
      </c>
      <c r="P17" s="10">
        <v>3760</v>
      </c>
      <c r="Q17" s="10">
        <v>3895</v>
      </c>
      <c r="R17" s="63">
        <v>3888</v>
      </c>
      <c r="S17" s="63">
        <v>7146</v>
      </c>
      <c r="T17" s="63">
        <v>7146</v>
      </c>
      <c r="U17" s="63">
        <v>6060.0000140000002</v>
      </c>
      <c r="V17" s="56">
        <v>5439</v>
      </c>
      <c r="W17" s="56">
        <v>3587.0000009999999</v>
      </c>
      <c r="X17" s="56" t="e">
        <v>#NAME?</v>
      </c>
    </row>
    <row r="18" spans="2:24" ht="13.5" customHeight="1">
      <c r="B18" s="10" t="s">
        <v>31</v>
      </c>
      <c r="C18" s="63"/>
      <c r="D18" s="63"/>
      <c r="E18" s="63">
        <v>-727</v>
      </c>
      <c r="F18" s="63"/>
      <c r="G18" s="63"/>
      <c r="H18" s="63"/>
      <c r="I18" s="63"/>
      <c r="J18" s="63">
        <v>-1359</v>
      </c>
      <c r="K18" s="63">
        <v>-1681</v>
      </c>
      <c r="L18" s="63">
        <v>-551</v>
      </c>
      <c r="M18" s="63">
        <v>-535</v>
      </c>
      <c r="N18" s="63">
        <v>-774</v>
      </c>
      <c r="O18" s="10">
        <v>-803</v>
      </c>
      <c r="P18" s="10">
        <v>-772</v>
      </c>
      <c r="Q18" s="10">
        <v>-777</v>
      </c>
      <c r="R18" s="63">
        <v>-804</v>
      </c>
      <c r="S18" s="63">
        <v>-773</v>
      </c>
      <c r="T18" s="63">
        <v>-773</v>
      </c>
      <c r="U18" s="63">
        <v>-306</v>
      </c>
      <c r="V18" s="56">
        <v>0</v>
      </c>
      <c r="W18" s="56">
        <v>0</v>
      </c>
      <c r="X18" s="56" t="e">
        <v>#NAME?</v>
      </c>
    </row>
    <row r="19" spans="2:24" ht="13.5" customHeight="1">
      <c r="B19" s="77" t="s">
        <v>92</v>
      </c>
      <c r="C19" s="80">
        <f>+SUM(C14:C18)</f>
        <v>0</v>
      </c>
      <c r="D19" s="80">
        <f t="shared" ref="D19:X19" si="1">+SUM(D14:D18)</f>
        <v>0</v>
      </c>
      <c r="E19" s="80">
        <f t="shared" si="1"/>
        <v>38470</v>
      </c>
      <c r="F19" s="80">
        <f t="shared" si="1"/>
        <v>0</v>
      </c>
      <c r="G19" s="80">
        <f t="shared" si="1"/>
        <v>0</v>
      </c>
      <c r="H19" s="80">
        <f t="shared" si="1"/>
        <v>0</v>
      </c>
      <c r="I19" s="80">
        <f t="shared" si="1"/>
        <v>0</v>
      </c>
      <c r="J19" s="80">
        <f t="shared" si="1"/>
        <v>67846</v>
      </c>
      <c r="K19" s="80">
        <f t="shared" si="1"/>
        <v>84733</v>
      </c>
      <c r="L19" s="80">
        <f t="shared" si="1"/>
        <v>72063</v>
      </c>
      <c r="M19" s="80">
        <f t="shared" si="1"/>
        <v>60422</v>
      </c>
      <c r="N19" s="80">
        <f t="shared" si="1"/>
        <v>69103</v>
      </c>
      <c r="O19" s="80">
        <f t="shared" si="1"/>
        <v>65955</v>
      </c>
      <c r="P19" s="80">
        <f t="shared" si="1"/>
        <v>71769</v>
      </c>
      <c r="Q19" s="80">
        <f t="shared" si="1"/>
        <v>88007</v>
      </c>
      <c r="R19" s="80">
        <f t="shared" si="1"/>
        <v>101011</v>
      </c>
      <c r="S19" s="80">
        <f t="shared" si="1"/>
        <v>103444</v>
      </c>
      <c r="T19" s="80">
        <f t="shared" si="1"/>
        <v>103444</v>
      </c>
      <c r="U19" s="80">
        <f t="shared" si="1"/>
        <v>113202.000014</v>
      </c>
      <c r="V19" s="80">
        <f t="shared" si="1"/>
        <v>102307</v>
      </c>
      <c r="W19" s="80">
        <f t="shared" si="1"/>
        <v>95158.000000999993</v>
      </c>
      <c r="X19" s="80" t="e">
        <f t="shared" si="1"/>
        <v>#NAME?</v>
      </c>
    </row>
    <row r="20" spans="2:24" ht="13.5" customHeight="1">
      <c r="I20" s="10"/>
      <c r="J20" s="63" t="e">
        <f>+J19-#REF!</f>
        <v>#REF!</v>
      </c>
      <c r="K20" s="63" t="e">
        <f>+K19-#REF!</f>
        <v>#REF!</v>
      </c>
      <c r="L20" s="63" t="e">
        <f>+L19-#REF!</f>
        <v>#REF!</v>
      </c>
      <c r="M20" s="63" t="e">
        <f>+M19-#REF!</f>
        <v>#REF!</v>
      </c>
      <c r="N20" s="63" t="e">
        <f>+N19-#REF!</f>
        <v>#REF!</v>
      </c>
    </row>
    <row r="21" spans="2:24" ht="13.5" customHeight="1">
      <c r="B21" s="174" t="s">
        <v>93</v>
      </c>
      <c r="C21" s="175">
        <f>+C10+C19</f>
        <v>0</v>
      </c>
      <c r="D21" s="175">
        <f t="shared" ref="D21:X21" si="2">+D10+D19</f>
        <v>0</v>
      </c>
      <c r="E21" s="175">
        <f t="shared" si="2"/>
        <v>396204</v>
      </c>
      <c r="F21" s="175">
        <f t="shared" si="2"/>
        <v>470558</v>
      </c>
      <c r="G21" s="175">
        <f t="shared" si="2"/>
        <v>0</v>
      </c>
      <c r="H21" s="175">
        <f t="shared" si="2"/>
        <v>466021</v>
      </c>
      <c r="I21" s="175">
        <f t="shared" si="2"/>
        <v>445440</v>
      </c>
      <c r="J21" s="175">
        <f t="shared" si="2"/>
        <v>519065</v>
      </c>
      <c r="K21" s="175">
        <f t="shared" si="2"/>
        <v>517238</v>
      </c>
      <c r="L21" s="175">
        <f t="shared" si="2"/>
        <v>519778</v>
      </c>
      <c r="M21" s="175">
        <f t="shared" si="2"/>
        <v>504496</v>
      </c>
      <c r="N21" s="175">
        <f t="shared" si="2"/>
        <v>630653</v>
      </c>
      <c r="O21" s="175">
        <f t="shared" si="2"/>
        <v>650109</v>
      </c>
      <c r="P21" s="175">
        <f t="shared" si="2"/>
        <v>650655</v>
      </c>
      <c r="Q21" s="175">
        <f t="shared" si="2"/>
        <v>661040</v>
      </c>
      <c r="R21" s="175">
        <f t="shared" si="2"/>
        <v>667621</v>
      </c>
      <c r="S21" s="175">
        <f t="shared" si="2"/>
        <v>668969.80439499998</v>
      </c>
      <c r="T21" s="175">
        <f t="shared" si="2"/>
        <v>670701</v>
      </c>
      <c r="U21" s="175">
        <f t="shared" si="2"/>
        <v>689406.00001399999</v>
      </c>
      <c r="V21" s="175">
        <f t="shared" si="2"/>
        <v>738081</v>
      </c>
      <c r="W21" s="175">
        <f t="shared" si="2"/>
        <v>1046162.000001</v>
      </c>
      <c r="X21" s="175" t="e">
        <f t="shared" si="2"/>
        <v>#NAME?</v>
      </c>
    </row>
    <row r="22" spans="2:24" ht="13.5" customHeight="1">
      <c r="C22" s="41"/>
      <c r="D22" s="41"/>
      <c r="E22" s="41"/>
      <c r="F22" s="41"/>
      <c r="G22" s="41"/>
    </row>
    <row r="23" spans="2:24" s="82" customFormat="1" ht="13.5" customHeight="1">
      <c r="C23" s="83"/>
      <c r="D23" s="83"/>
      <c r="E23" s="83"/>
      <c r="F23" s="83"/>
      <c r="G23" s="83"/>
    </row>
    <row r="24" spans="2:24" ht="13.5" customHeight="1">
      <c r="C24" s="41"/>
      <c r="D24" s="41"/>
      <c r="E24" s="41"/>
      <c r="F24" s="41"/>
      <c r="G24" s="41"/>
    </row>
    <row r="25" spans="2:24" ht="13.5" customHeight="1">
      <c r="B25" s="77" t="s">
        <v>24</v>
      </c>
      <c r="C25" s="77"/>
      <c r="D25" s="77"/>
      <c r="E25" s="77"/>
      <c r="F25" s="77"/>
      <c r="G25" s="77"/>
      <c r="H25" s="77"/>
      <c r="I25" s="77"/>
      <c r="J25" s="77"/>
      <c r="K25" s="77"/>
      <c r="L25" s="77"/>
      <c r="M25" s="77"/>
      <c r="N25" s="77"/>
      <c r="O25" s="77"/>
      <c r="P25" s="77"/>
      <c r="Q25" s="77"/>
      <c r="R25" s="77"/>
      <c r="S25" s="77"/>
      <c r="T25" s="77"/>
      <c r="U25" s="77"/>
      <c r="V25" s="77"/>
      <c r="W25" s="77"/>
      <c r="X25" s="77"/>
    </row>
    <row r="26" spans="2:24" ht="13.5" customHeight="1">
      <c r="B26" s="10" t="s">
        <v>22</v>
      </c>
      <c r="C26" s="176" t="str">
        <f>+C3</f>
        <v>22.10.08</v>
      </c>
      <c r="D26" s="176" t="str">
        <f t="shared" ref="D26:T26" si="3">+D3</f>
        <v>31.12.08</v>
      </c>
      <c r="E26" s="176" t="str">
        <f t="shared" si="3"/>
        <v>31.12.09</v>
      </c>
      <c r="F26" s="176" t="str">
        <f t="shared" si="3"/>
        <v>8.1.10</v>
      </c>
      <c r="G26" s="176" t="str">
        <f t="shared" si="3"/>
        <v>Q1 10</v>
      </c>
      <c r="H26" s="176" t="str">
        <f t="shared" si="3"/>
        <v>Q2 10</v>
      </c>
      <c r="I26" s="176" t="str">
        <f t="shared" si="3"/>
        <v>Q3 10</v>
      </c>
      <c r="J26" s="176" t="str">
        <f t="shared" si="3"/>
        <v>Q4 10</v>
      </c>
      <c r="K26" s="176" t="str">
        <f t="shared" si="3"/>
        <v>Q1 11</v>
      </c>
      <c r="L26" s="176" t="str">
        <f t="shared" si="3"/>
        <v>Q2 11</v>
      </c>
      <c r="M26" s="176" t="str">
        <f t="shared" si="3"/>
        <v>Q3 11</v>
      </c>
      <c r="N26" s="176" t="str">
        <f t="shared" si="3"/>
        <v>Q4 11</v>
      </c>
      <c r="O26" s="176" t="str">
        <f t="shared" si="3"/>
        <v>Q1 12</v>
      </c>
      <c r="P26" s="176" t="str">
        <f t="shared" si="3"/>
        <v>Q2 12</v>
      </c>
      <c r="Q26" s="176" t="str">
        <f t="shared" si="3"/>
        <v>Q3 12</v>
      </c>
      <c r="R26" s="176" t="str">
        <f t="shared" si="3"/>
        <v>Q4 12</v>
      </c>
      <c r="S26" s="173" t="s">
        <v>230</v>
      </c>
      <c r="T26" s="176" t="str">
        <f t="shared" si="3"/>
        <v>Q2 13</v>
      </c>
      <c r="U26" s="173" t="s">
        <v>261</v>
      </c>
      <c r="V26" s="173" t="s">
        <v>278</v>
      </c>
      <c r="W26" s="173" t="s">
        <v>279</v>
      </c>
      <c r="X26" s="173" t="s">
        <v>280</v>
      </c>
    </row>
    <row r="27" spans="2:24" ht="13.5" customHeight="1">
      <c r="B27" s="10" t="s">
        <v>28</v>
      </c>
      <c r="C27" s="63"/>
      <c r="D27" s="63"/>
      <c r="E27" s="63"/>
      <c r="F27" s="63"/>
      <c r="G27" s="63"/>
      <c r="H27" s="63"/>
      <c r="I27" s="63"/>
      <c r="J27" s="63"/>
      <c r="K27" s="63"/>
      <c r="L27" s="63"/>
      <c r="M27" s="63"/>
      <c r="N27" s="63">
        <v>239288.2</v>
      </c>
      <c r="O27" s="63"/>
      <c r="P27" s="63"/>
      <c r="Q27" s="63"/>
      <c r="R27" s="63">
        <v>242773</v>
      </c>
      <c r="S27" s="63">
        <v>247245</v>
      </c>
      <c r="T27" s="63">
        <v>253868</v>
      </c>
      <c r="U27" s="63">
        <v>256626</v>
      </c>
      <c r="V27" s="63">
        <v>310491</v>
      </c>
      <c r="W27" s="63">
        <v>311941</v>
      </c>
      <c r="X27" s="56" t="e">
        <v>#NAME?</v>
      </c>
    </row>
    <row r="28" spans="2:24" ht="13.5" customHeight="1">
      <c r="B28" s="10" t="s">
        <v>88</v>
      </c>
      <c r="C28" s="63"/>
      <c r="D28" s="63"/>
      <c r="E28" s="63"/>
      <c r="F28" s="63"/>
      <c r="G28" s="63"/>
      <c r="H28" s="63"/>
      <c r="I28" s="63"/>
      <c r="J28" s="63"/>
      <c r="K28" s="63"/>
      <c r="L28" s="63"/>
      <c r="M28" s="63"/>
      <c r="N28" s="63">
        <v>322261.5</v>
      </c>
      <c r="O28" s="63"/>
      <c r="P28" s="63"/>
      <c r="Q28" s="63"/>
      <c r="R28" s="63">
        <v>323837</v>
      </c>
      <c r="S28" s="63">
        <v>318280.80439499998</v>
      </c>
      <c r="T28" s="63">
        <v>313389</v>
      </c>
      <c r="U28" s="63">
        <v>319578</v>
      </c>
      <c r="V28" s="63">
        <v>325283</v>
      </c>
      <c r="W28" s="63">
        <v>330400</v>
      </c>
      <c r="X28" s="56" t="e">
        <v>#NAME?</v>
      </c>
    </row>
    <row r="29" spans="2:24" ht="13.5" customHeight="1">
      <c r="B29" s="77" t="s">
        <v>87</v>
      </c>
      <c r="C29" s="80">
        <f t="shared" ref="C29:O29" si="4">+SUM(C27:C28)</f>
        <v>0</v>
      </c>
      <c r="D29" s="80">
        <f t="shared" si="4"/>
        <v>0</v>
      </c>
      <c r="E29" s="80">
        <f t="shared" si="4"/>
        <v>0</v>
      </c>
      <c r="F29" s="80">
        <f t="shared" si="4"/>
        <v>0</v>
      </c>
      <c r="G29" s="80">
        <f t="shared" si="4"/>
        <v>0</v>
      </c>
      <c r="H29" s="80">
        <f t="shared" si="4"/>
        <v>0</v>
      </c>
      <c r="I29" s="80">
        <f t="shared" si="4"/>
        <v>0</v>
      </c>
      <c r="J29" s="80">
        <f t="shared" si="4"/>
        <v>0</v>
      </c>
      <c r="K29" s="80">
        <f t="shared" si="4"/>
        <v>0</v>
      </c>
      <c r="L29" s="80">
        <f t="shared" si="4"/>
        <v>0</v>
      </c>
      <c r="M29" s="80">
        <f t="shared" si="4"/>
        <v>0</v>
      </c>
      <c r="N29" s="80">
        <f t="shared" si="4"/>
        <v>561549.69999999995</v>
      </c>
      <c r="O29" s="80">
        <f t="shared" si="4"/>
        <v>0</v>
      </c>
      <c r="P29" s="80"/>
      <c r="Q29" s="80"/>
      <c r="R29" s="80">
        <f>+SUM(R27:R28)</f>
        <v>566610</v>
      </c>
      <c r="S29" s="80">
        <f t="shared" ref="S29:X29" si="5">+SUM(S27:S28)</f>
        <v>565525.80439499998</v>
      </c>
      <c r="T29" s="80">
        <f t="shared" si="5"/>
        <v>567257</v>
      </c>
      <c r="U29" s="80">
        <f t="shared" si="5"/>
        <v>576204</v>
      </c>
      <c r="V29" s="80">
        <f t="shared" si="5"/>
        <v>635774</v>
      </c>
      <c r="W29" s="80">
        <f t="shared" si="5"/>
        <v>642341</v>
      </c>
      <c r="X29" s="80" t="e">
        <f t="shared" si="5"/>
        <v>#NAME?</v>
      </c>
    </row>
    <row r="30" spans="2:24" ht="13.5" customHeight="1">
      <c r="C30" s="41"/>
      <c r="D30" s="41"/>
      <c r="E30" s="41"/>
      <c r="F30" s="41"/>
      <c r="G30" s="41"/>
      <c r="T30" s="63">
        <f>+T29-T10</f>
        <v>0</v>
      </c>
      <c r="U30" s="63"/>
    </row>
    <row r="31" spans="2:24" ht="13.5" customHeight="1">
      <c r="C31" s="41"/>
      <c r="D31" s="41"/>
      <c r="E31" s="41"/>
      <c r="F31" s="41"/>
      <c r="G31" s="41"/>
    </row>
    <row r="32" spans="2:24" s="82" customFormat="1" ht="13.5" customHeight="1">
      <c r="C32" s="83"/>
      <c r="D32" s="83"/>
      <c r="E32" s="83"/>
      <c r="F32" s="83"/>
      <c r="G32" s="83"/>
    </row>
    <row r="33" spans="2:24" ht="13.5" customHeight="1">
      <c r="C33" s="41"/>
      <c r="D33" s="41"/>
      <c r="E33" s="41"/>
      <c r="F33" s="41"/>
      <c r="G33" s="41"/>
    </row>
    <row r="34" spans="2:24" ht="13.5" customHeight="1">
      <c r="C34" s="41"/>
      <c r="D34" s="41"/>
      <c r="E34" s="41"/>
      <c r="F34" s="41"/>
      <c r="G34" s="41"/>
    </row>
    <row r="35" spans="2:24" ht="13.5" customHeight="1">
      <c r="B35" s="14" t="s">
        <v>27</v>
      </c>
      <c r="D35" s="172">
        <v>3</v>
      </c>
      <c r="E35" s="172" t="str">
        <f t="shared" ref="E35:O35" si="6">+E3</f>
        <v>31.12.09</v>
      </c>
      <c r="F35" s="172" t="str">
        <f t="shared" si="6"/>
        <v>8.1.10</v>
      </c>
      <c r="G35" s="172" t="str">
        <f t="shared" si="6"/>
        <v>Q1 10</v>
      </c>
      <c r="H35" s="172" t="str">
        <f t="shared" si="6"/>
        <v>Q2 10</v>
      </c>
      <c r="I35" s="172" t="str">
        <f t="shared" si="6"/>
        <v>Q3 10</v>
      </c>
      <c r="J35" s="172" t="str">
        <f t="shared" si="6"/>
        <v>Q4 10</v>
      </c>
      <c r="K35" s="172" t="str">
        <f t="shared" si="6"/>
        <v>Q1 11</v>
      </c>
      <c r="L35" s="172" t="str">
        <f t="shared" si="6"/>
        <v>Q2 11</v>
      </c>
      <c r="M35" s="172" t="str">
        <f t="shared" si="6"/>
        <v>Q3 11</v>
      </c>
      <c r="N35" s="172" t="str">
        <f t="shared" si="6"/>
        <v>Q4 11</v>
      </c>
      <c r="O35" s="172" t="str">
        <f t="shared" si="6"/>
        <v>Q1 12</v>
      </c>
      <c r="P35" s="173" t="s">
        <v>125</v>
      </c>
      <c r="Q35" s="173" t="s">
        <v>131</v>
      </c>
      <c r="R35" s="172" t="str">
        <f>+R3</f>
        <v>Q4 12</v>
      </c>
      <c r="S35" s="173" t="s">
        <v>230</v>
      </c>
      <c r="T35" s="172" t="str">
        <f>+T3</f>
        <v>Q2 13</v>
      </c>
      <c r="U35" s="173" t="s">
        <v>261</v>
      </c>
      <c r="V35" s="173" t="s">
        <v>278</v>
      </c>
      <c r="W35" s="173" t="s">
        <v>279</v>
      </c>
      <c r="X35" s="173" t="s">
        <v>280</v>
      </c>
    </row>
    <row r="36" spans="2:24" ht="13.5" customHeight="1">
      <c r="B36" s="10" t="s">
        <v>28</v>
      </c>
      <c r="D36" s="41"/>
      <c r="E36" s="41">
        <v>0.155</v>
      </c>
      <c r="F36" s="41"/>
      <c r="G36" s="41"/>
      <c r="H36" s="41"/>
      <c r="I36" s="41"/>
      <c r="J36" s="41">
        <v>0.24678452411988056</v>
      </c>
      <c r="K36" s="41"/>
      <c r="L36" s="81">
        <v>0.24199999999999999</v>
      </c>
      <c r="M36" s="41">
        <v>0.24411546002861803</v>
      </c>
      <c r="N36" s="81">
        <v>0.39689876047489187</v>
      </c>
      <c r="O36" s="81">
        <v>0.38973996213779494</v>
      </c>
      <c r="P36" s="81">
        <v>0.39115419261500256</v>
      </c>
      <c r="Q36" s="81">
        <v>0.41399999999999998</v>
      </c>
      <c r="R36" s="81">
        <v>0.42799999999999999</v>
      </c>
      <c r="S36" s="81">
        <v>0.438</v>
      </c>
      <c r="T36" s="81">
        <v>0.44500000000000001</v>
      </c>
      <c r="U36" s="81">
        <v>0.44500000000000001</v>
      </c>
      <c r="V36" s="239">
        <v>0.48799999999999999</v>
      </c>
      <c r="W36" s="239">
        <v>0.48599999999999999</v>
      </c>
      <c r="X36" s="85" t="e">
        <v>#NAME?</v>
      </c>
    </row>
    <row r="37" spans="2:24" ht="13.5" customHeight="1">
      <c r="B37" s="10" t="s">
        <v>203</v>
      </c>
      <c r="D37" s="41"/>
      <c r="E37" s="41">
        <v>0.14799999999999999</v>
      </c>
      <c r="F37" s="41"/>
      <c r="G37" s="41"/>
      <c r="H37" s="41"/>
      <c r="I37" s="41"/>
      <c r="J37" s="41">
        <v>0.13018125617688139</v>
      </c>
      <c r="K37" s="41"/>
      <c r="L37" s="81">
        <v>0.11799999999999999</v>
      </c>
      <c r="M37" s="41">
        <v>0.1195573894778158</v>
      </c>
      <c r="N37" s="81">
        <v>9.8111190506833021E-2</v>
      </c>
      <c r="O37" s="81">
        <v>9.022724419669978E-2</v>
      </c>
      <c r="P37" s="81">
        <v>0.1022078926220349</v>
      </c>
      <c r="Q37" s="81">
        <v>0.106</v>
      </c>
      <c r="R37" s="81">
        <v>0.121</v>
      </c>
      <c r="S37" s="81">
        <v>0.126</v>
      </c>
      <c r="T37" s="81">
        <v>0.13100000000000001</v>
      </c>
      <c r="U37" s="81">
        <v>0.13500000000000001</v>
      </c>
      <c r="V37" s="239">
        <v>0.13100000000000001</v>
      </c>
      <c r="W37" s="239">
        <v>0.13600000000000001</v>
      </c>
      <c r="X37" s="85" t="e">
        <v>#NAME?</v>
      </c>
    </row>
    <row r="38" spans="2:24" ht="13.5" customHeight="1">
      <c r="B38" s="10" t="s">
        <v>200</v>
      </c>
      <c r="D38" s="41"/>
      <c r="E38" s="41">
        <v>0.161</v>
      </c>
      <c r="F38" s="41"/>
      <c r="G38" s="41"/>
      <c r="H38" s="41"/>
      <c r="I38" s="41"/>
      <c r="J38" s="41">
        <v>0.1406940250176035</v>
      </c>
      <c r="K38" s="41"/>
      <c r="L38" s="81">
        <v>0.17199999999999999</v>
      </c>
      <c r="M38" s="41">
        <v>0.16885781011420023</v>
      </c>
      <c r="N38" s="81">
        <v>0.10839768306376503</v>
      </c>
      <c r="O38" s="81">
        <v>0.11291720031540946</v>
      </c>
      <c r="P38" s="81">
        <v>0.11839190319450689</v>
      </c>
      <c r="Q38" s="81">
        <v>0.105</v>
      </c>
      <c r="R38" s="81">
        <v>0.12</v>
      </c>
      <c r="S38" s="81">
        <v>0.11</v>
      </c>
      <c r="T38" s="81">
        <v>0.112</v>
      </c>
      <c r="U38" s="81">
        <v>0.104</v>
      </c>
      <c r="V38" s="239">
        <v>9.6000000000000002E-2</v>
      </c>
      <c r="W38" s="239">
        <v>9.7000000000000003E-2</v>
      </c>
      <c r="X38" s="85" t="e">
        <v>#NAME?</v>
      </c>
    </row>
    <row r="39" spans="2:24" ht="13.5" customHeight="1">
      <c r="B39" s="10" t="s">
        <v>201</v>
      </c>
      <c r="D39" s="41"/>
      <c r="E39" s="41">
        <v>0.17399999999999999</v>
      </c>
      <c r="F39" s="41"/>
      <c r="G39" s="41"/>
      <c r="H39" s="41"/>
      <c r="I39" s="41"/>
      <c r="J39" s="41">
        <v>0.13259313434724437</v>
      </c>
      <c r="K39" s="41"/>
      <c r="L39" s="81">
        <v>9.6999999999999989E-2</v>
      </c>
      <c r="M39" s="41">
        <v>9.3627505676217762E-2</v>
      </c>
      <c r="N39" s="81">
        <v>7.7464149686807759E-2</v>
      </c>
      <c r="O39" s="81">
        <v>8.6315845599579513E-2</v>
      </c>
      <c r="P39" s="81">
        <v>9.1727664828757896E-2</v>
      </c>
      <c r="Q39" s="81">
        <v>7.9000000000000001E-2</v>
      </c>
      <c r="R39" s="81">
        <v>5.0999999999999997E-2</v>
      </c>
      <c r="S39" s="81">
        <v>0.05</v>
      </c>
      <c r="T39" s="81">
        <v>4.3999999999999997E-2</v>
      </c>
      <c r="U39" s="81">
        <v>4.2999999999999997E-2</v>
      </c>
      <c r="V39" s="239">
        <v>3.7999999999999999E-2</v>
      </c>
      <c r="W39" s="239">
        <v>3.5999999999999997E-2</v>
      </c>
      <c r="X39" s="85" t="e">
        <v>#NAME?</v>
      </c>
    </row>
    <row r="40" spans="2:24" ht="13.5" customHeight="1">
      <c r="B40" s="10" t="s">
        <v>103</v>
      </c>
      <c r="D40" s="41"/>
      <c r="E40" s="41">
        <v>0.11799999999999999</v>
      </c>
      <c r="F40" s="41"/>
      <c r="G40" s="41"/>
      <c r="H40" s="41"/>
      <c r="I40" s="41"/>
      <c r="J40" s="41">
        <v>9.9091309038905617E-2</v>
      </c>
      <c r="K40" s="41"/>
      <c r="L40" s="81">
        <v>0.11600000000000001</v>
      </c>
      <c r="M40" s="41">
        <v>0.11711896773608901</v>
      </c>
      <c r="N40" s="81">
        <v>0.11742916638415185</v>
      </c>
      <c r="O40" s="81">
        <v>0.1279628823960498</v>
      </c>
      <c r="P40" s="81">
        <v>0.11069577902283166</v>
      </c>
      <c r="Q40" s="81">
        <v>0.111</v>
      </c>
      <c r="R40" s="81">
        <v>9.8000000000000004E-2</v>
      </c>
      <c r="S40" s="81">
        <v>0.09</v>
      </c>
      <c r="T40" s="177">
        <v>0.09</v>
      </c>
      <c r="U40" s="177">
        <v>8.2000000000000003E-2</v>
      </c>
      <c r="V40" s="239">
        <v>8.6999999999999994E-2</v>
      </c>
      <c r="W40" s="239">
        <v>8.1000000000000003E-2</v>
      </c>
      <c r="X40" s="85" t="e">
        <v>#NAME?</v>
      </c>
    </row>
    <row r="41" spans="2:24" ht="13.5" customHeight="1">
      <c r="B41" s="10" t="s">
        <v>86</v>
      </c>
      <c r="D41" s="41"/>
      <c r="E41" s="41">
        <v>4.2999999999999997E-2</v>
      </c>
      <c r="F41" s="41"/>
      <c r="G41" s="41"/>
      <c r="H41" s="41"/>
      <c r="I41" s="41"/>
      <c r="J41" s="41">
        <v>0.11131767040804677</v>
      </c>
      <c r="K41" s="41"/>
      <c r="L41" s="81">
        <v>0.13200000000000001</v>
      </c>
      <c r="M41" s="41">
        <v>0.13270652614481465</v>
      </c>
      <c r="N41" s="81">
        <v>0.11086477481987377</v>
      </c>
      <c r="O41" s="81">
        <v>0.10548340751789811</v>
      </c>
      <c r="P41" s="81">
        <v>9.5997630754638519E-2</v>
      </c>
      <c r="Q41" s="81">
        <v>9.2999999999999999E-2</v>
      </c>
      <c r="R41" s="81">
        <v>4.3999999999999997E-2</v>
      </c>
      <c r="S41" s="81">
        <v>4.5999999999999999E-2</v>
      </c>
      <c r="T41" s="81">
        <v>4.4999999999999998E-2</v>
      </c>
      <c r="U41" s="81">
        <v>5.8999999999999997E-2</v>
      </c>
      <c r="V41" s="239">
        <v>4.2999999999999997E-2</v>
      </c>
      <c r="W41" s="239">
        <v>4.9000000000000002E-2</v>
      </c>
      <c r="X41" s="85" t="e">
        <v>#NAME?</v>
      </c>
    </row>
    <row r="42" spans="2:24" ht="13.5" customHeight="1">
      <c r="B42" s="10" t="s">
        <v>206</v>
      </c>
      <c r="D42" s="41"/>
      <c r="E42" s="41">
        <v>0.122</v>
      </c>
      <c r="F42" s="41"/>
      <c r="G42" s="41"/>
      <c r="H42" s="41"/>
      <c r="I42" s="41"/>
      <c r="J42" s="41">
        <v>8.3196182501206903E-2</v>
      </c>
      <c r="K42" s="41"/>
      <c r="L42" s="81">
        <v>7.0999999999999994E-2</v>
      </c>
      <c r="M42" s="41">
        <v>7.1292755165555707E-2</v>
      </c>
      <c r="N42" s="81">
        <v>5.2755726851917352E-2</v>
      </c>
      <c r="O42" s="81">
        <v>5.0600871365502224E-2</v>
      </c>
      <c r="P42" s="81">
        <v>5.2251042794349487E-2</v>
      </c>
      <c r="Q42" s="81">
        <v>5.1999999999999998E-2</v>
      </c>
      <c r="R42" s="81">
        <v>0.04</v>
      </c>
      <c r="S42" s="81">
        <v>0.04</v>
      </c>
      <c r="T42" s="81">
        <v>0.04</v>
      </c>
      <c r="U42" s="81">
        <v>0.04</v>
      </c>
      <c r="V42" s="239">
        <v>3.4999999999999996E-2</v>
      </c>
      <c r="W42" s="239">
        <v>3.6999999999999998E-2</v>
      </c>
      <c r="X42" s="85" t="e">
        <v>#NAME?</v>
      </c>
    </row>
    <row r="43" spans="2:24" ht="13.5" customHeight="1">
      <c r="B43" s="10" t="s">
        <v>172</v>
      </c>
      <c r="D43" s="41"/>
      <c r="E43" s="41">
        <v>5.2999999999999999E-2</v>
      </c>
      <c r="F43" s="41"/>
      <c r="G43" s="41"/>
      <c r="H43" s="41"/>
      <c r="I43" s="41"/>
      <c r="J43" s="41">
        <v>2.4149466201979105E-2</v>
      </c>
      <c r="K43" s="41"/>
      <c r="L43" s="81">
        <v>2.1999999999999999E-2</v>
      </c>
      <c r="M43" s="41">
        <v>2.1360533107240176E-2</v>
      </c>
      <c r="N43" s="81">
        <v>1.4575015993124888E-2</v>
      </c>
      <c r="O43" s="81">
        <v>1.3444265572403078E-2</v>
      </c>
      <c r="P43" s="81">
        <v>1.2534448758000642E-2</v>
      </c>
      <c r="Q43" s="81">
        <v>1.2E-2</v>
      </c>
      <c r="R43" s="81">
        <v>3.7999999999999999E-2</v>
      </c>
      <c r="S43" s="81">
        <v>0.03</v>
      </c>
      <c r="T43" s="177">
        <v>3.5000000000000003E-2</v>
      </c>
      <c r="U43" s="177">
        <v>3.4000000000000002E-2</v>
      </c>
      <c r="V43" s="239">
        <v>0.03</v>
      </c>
      <c r="W43" s="239">
        <v>2.9000000000000001E-2</v>
      </c>
      <c r="X43" s="85" t="e">
        <v>#NAME?</v>
      </c>
    </row>
    <row r="44" spans="2:24" ht="13.5" customHeight="1">
      <c r="B44" s="10" t="s">
        <v>173</v>
      </c>
      <c r="D44" s="41"/>
      <c r="E44" s="41">
        <v>2.6000000000000002E-2</v>
      </c>
      <c r="F44" s="41"/>
      <c r="G44" s="41"/>
      <c r="H44" s="41"/>
      <c r="I44" s="41"/>
      <c r="J44" s="41">
        <v>3.199243218825177E-2</v>
      </c>
      <c r="K44" s="41"/>
      <c r="L44" s="81">
        <v>0.03</v>
      </c>
      <c r="M44" s="41">
        <v>3.1363052549448767E-2</v>
      </c>
      <c r="N44" s="81">
        <v>2.3503532218634361E-2</v>
      </c>
      <c r="O44" s="81">
        <v>2.3608320898663097E-2</v>
      </c>
      <c r="P44" s="81">
        <v>2.5039445409877514E-2</v>
      </c>
      <c r="Q44" s="81">
        <v>2.8000000000000001E-2</v>
      </c>
      <c r="R44" s="81">
        <v>3.3000000000000002E-2</v>
      </c>
      <c r="S44" s="81">
        <v>3.4000000000000002E-2</v>
      </c>
      <c r="T44" s="81">
        <v>3.3000000000000002E-2</v>
      </c>
      <c r="U44" s="81">
        <v>3.5000000000000003E-2</v>
      </c>
      <c r="V44" s="239">
        <v>3.1E-2</v>
      </c>
      <c r="W44" s="239">
        <v>3.1E-2</v>
      </c>
      <c r="X44" s="85" t="e">
        <v>#NAME?</v>
      </c>
    </row>
    <row r="45" spans="2:24" ht="13.5" customHeight="1">
      <c r="B45" s="10" t="s">
        <v>205</v>
      </c>
      <c r="D45" s="41"/>
      <c r="E45" s="41"/>
      <c r="F45" s="41"/>
      <c r="G45" s="41"/>
      <c r="H45" s="41"/>
      <c r="I45" s="41"/>
      <c r="J45" s="41"/>
      <c r="K45" s="41"/>
      <c r="L45" s="81"/>
      <c r="M45" s="41"/>
      <c r="N45" s="81"/>
      <c r="O45" s="81"/>
      <c r="P45" s="81"/>
      <c r="Q45" s="81"/>
      <c r="R45" s="81">
        <v>1.7999999999999999E-2</v>
      </c>
      <c r="S45" s="81">
        <v>1.6E-2</v>
      </c>
      <c r="T45" s="81">
        <v>1.6E-2</v>
      </c>
      <c r="U45" s="81">
        <v>1.4999999999999999E-2</v>
      </c>
      <c r="V45" s="239">
        <v>1.4E-2</v>
      </c>
      <c r="W45" s="239">
        <v>1.0999999999999999E-2</v>
      </c>
      <c r="X45" s="85" t="e">
        <v>#NAME?</v>
      </c>
    </row>
    <row r="46" spans="2:24" ht="13.5" customHeight="1">
      <c r="B46" s="10" t="s">
        <v>204</v>
      </c>
      <c r="D46" s="41"/>
      <c r="E46" s="41"/>
      <c r="F46" s="41"/>
      <c r="G46" s="41"/>
      <c r="H46" s="41"/>
      <c r="I46" s="41"/>
      <c r="J46" s="41"/>
      <c r="K46" s="41"/>
      <c r="L46" s="81"/>
      <c r="M46" s="41"/>
      <c r="N46" s="81"/>
      <c r="O46" s="81"/>
      <c r="P46" s="81"/>
      <c r="Q46" s="81"/>
      <c r="R46" s="81">
        <v>8.9999999999999993E-3</v>
      </c>
      <c r="S46" s="81">
        <v>8.9999999999999993E-3</v>
      </c>
      <c r="T46" s="81">
        <v>8.9999999999999993E-3</v>
      </c>
      <c r="U46" s="81">
        <v>8.0000000000000002E-3</v>
      </c>
      <c r="V46" s="239">
        <v>7.0000000000000001E-3</v>
      </c>
      <c r="W46" s="239">
        <v>7.0000000000000001E-3</v>
      </c>
      <c r="X46" s="85" t="e">
        <v>#NAME?</v>
      </c>
    </row>
    <row r="47" spans="2:24" ht="13.5" customHeight="1">
      <c r="B47" s="14" t="s">
        <v>26</v>
      </c>
      <c r="D47" s="89">
        <f>+SUM(D36:D44)</f>
        <v>0</v>
      </c>
      <c r="E47" s="89">
        <f>+SUM(E36:E44)</f>
        <v>1</v>
      </c>
      <c r="F47" s="89">
        <f t="shared" ref="F47:Q47" si="7">+SUM(F36:F44)</f>
        <v>0</v>
      </c>
      <c r="G47" s="89">
        <f t="shared" si="7"/>
        <v>0</v>
      </c>
      <c r="H47" s="89">
        <f t="shared" si="7"/>
        <v>0</v>
      </c>
      <c r="I47" s="89">
        <f t="shared" si="7"/>
        <v>0</v>
      </c>
      <c r="J47" s="89">
        <f t="shared" si="7"/>
        <v>1</v>
      </c>
      <c r="K47" s="89">
        <f t="shared" si="7"/>
        <v>0</v>
      </c>
      <c r="L47" s="171">
        <f t="shared" si="7"/>
        <v>1</v>
      </c>
      <c r="M47" s="89">
        <f t="shared" si="7"/>
        <v>1</v>
      </c>
      <c r="N47" s="171">
        <f t="shared" si="7"/>
        <v>0.99999999999999989</v>
      </c>
      <c r="O47" s="89">
        <f t="shared" si="7"/>
        <v>1.0003</v>
      </c>
      <c r="P47" s="89">
        <f t="shared" si="7"/>
        <v>1.0000000000000002</v>
      </c>
      <c r="Q47" s="89">
        <f t="shared" si="7"/>
        <v>1</v>
      </c>
      <c r="R47" s="89">
        <f>+SUM(R36:R46)</f>
        <v>1</v>
      </c>
      <c r="S47" s="89">
        <f t="shared" ref="S47:X47" si="8">+SUM(S36:S46)</f>
        <v>0.98900000000000021</v>
      </c>
      <c r="T47" s="89">
        <f t="shared" si="8"/>
        <v>1.0000000000000002</v>
      </c>
      <c r="U47" s="89">
        <f t="shared" si="8"/>
        <v>1.0000000000000002</v>
      </c>
      <c r="V47" s="89">
        <f t="shared" si="8"/>
        <v>1</v>
      </c>
      <c r="W47" s="89">
        <f t="shared" si="8"/>
        <v>1</v>
      </c>
      <c r="X47" s="89" t="e">
        <f t="shared" si="8"/>
        <v>#NAME?</v>
      </c>
    </row>
    <row r="48" spans="2:24" ht="13.5" customHeight="1">
      <c r="J48" s="56"/>
      <c r="K48" s="56"/>
      <c r="L48" s="85"/>
      <c r="M48" s="85"/>
      <c r="N48" s="90"/>
      <c r="W48" s="85"/>
    </row>
    <row r="49" spans="2:24" ht="13.5" customHeight="1">
      <c r="B49" s="42"/>
      <c r="E49" s="92"/>
      <c r="F49" s="11"/>
      <c r="G49" s="178"/>
      <c r="J49" s="56"/>
      <c r="K49" s="56"/>
      <c r="L49" s="85"/>
      <c r="M49" s="85"/>
      <c r="N49" s="90"/>
      <c r="O49" s="14"/>
      <c r="W49" s="90"/>
    </row>
    <row r="50" spans="2:24" ht="13.5" customHeight="1">
      <c r="B50" s="42"/>
      <c r="E50" s="179"/>
      <c r="F50" s="11"/>
      <c r="G50" s="11"/>
      <c r="H50" s="14"/>
      <c r="J50" s="56"/>
      <c r="K50" s="56"/>
      <c r="L50" s="85"/>
      <c r="M50" s="42" t="s">
        <v>28</v>
      </c>
      <c r="N50" s="56" t="e">
        <f t="shared" ref="N50:N58" si="9">X36*100</f>
        <v>#NAME?</v>
      </c>
    </row>
    <row r="51" spans="2:24" ht="13.5" customHeight="1">
      <c r="B51" s="42"/>
      <c r="E51" s="11"/>
      <c r="F51" s="11"/>
      <c r="G51" s="11"/>
      <c r="J51" s="56"/>
      <c r="K51" s="56"/>
      <c r="L51" s="85"/>
      <c r="M51" s="42" t="s">
        <v>203</v>
      </c>
      <c r="N51" s="56" t="e">
        <f t="shared" si="9"/>
        <v>#NAME?</v>
      </c>
    </row>
    <row r="52" spans="2:24" ht="13.5" customHeight="1">
      <c r="B52" s="42"/>
      <c r="E52" s="179"/>
      <c r="F52" s="11"/>
      <c r="G52" s="11"/>
      <c r="J52" s="56"/>
      <c r="L52" s="85"/>
      <c r="M52" s="42" t="s">
        <v>200</v>
      </c>
      <c r="N52" s="56" t="e">
        <f t="shared" si="9"/>
        <v>#NAME?</v>
      </c>
    </row>
    <row r="53" spans="2:24" ht="13.5" customHeight="1">
      <c r="B53" s="42"/>
      <c r="E53" s="179"/>
      <c r="F53" s="11"/>
      <c r="G53" s="11"/>
      <c r="J53" s="56"/>
      <c r="K53" s="56"/>
      <c r="L53" s="85"/>
      <c r="M53" s="42" t="s">
        <v>201</v>
      </c>
      <c r="N53" s="56" t="e">
        <f t="shared" si="9"/>
        <v>#NAME?</v>
      </c>
      <c r="X53" s="56"/>
    </row>
    <row r="54" spans="2:24" ht="13.5" customHeight="1">
      <c r="B54" s="42"/>
      <c r="E54" s="180"/>
      <c r="F54" s="11"/>
      <c r="G54" s="11"/>
      <c r="J54" s="56"/>
      <c r="K54" s="56"/>
      <c r="L54" s="85"/>
      <c r="M54" s="42" t="s">
        <v>103</v>
      </c>
      <c r="N54" s="56" t="e">
        <f t="shared" si="9"/>
        <v>#NAME?</v>
      </c>
      <c r="X54" s="56"/>
    </row>
    <row r="55" spans="2:24" ht="13.5" customHeight="1">
      <c r="B55" s="42"/>
      <c r="M55" s="42" t="s">
        <v>86</v>
      </c>
      <c r="N55" s="56" t="e">
        <f t="shared" si="9"/>
        <v>#NAME?</v>
      </c>
      <c r="X55" s="57"/>
    </row>
    <row r="56" spans="2:24" ht="13.5" customHeight="1">
      <c r="B56" s="42"/>
      <c r="F56" s="14"/>
      <c r="G56" s="14"/>
      <c r="M56" s="42" t="s">
        <v>243</v>
      </c>
      <c r="N56" s="56" t="e">
        <f t="shared" si="9"/>
        <v>#NAME?</v>
      </c>
      <c r="V56" s="14"/>
      <c r="W56" s="107"/>
    </row>
    <row r="57" spans="2:24" ht="13.5" customHeight="1">
      <c r="B57" s="42"/>
      <c r="G57" s="91"/>
      <c r="M57" s="42" t="s">
        <v>172</v>
      </c>
      <c r="N57" s="56" t="e">
        <f t="shared" si="9"/>
        <v>#NAME?</v>
      </c>
      <c r="V57" s="11"/>
      <c r="W57" s="63"/>
      <c r="X57" s="91"/>
    </row>
    <row r="58" spans="2:24" ht="13.5" customHeight="1">
      <c r="G58" s="85"/>
      <c r="M58" s="42" t="s">
        <v>173</v>
      </c>
      <c r="N58" s="56" t="e">
        <f t="shared" si="9"/>
        <v>#NAME?</v>
      </c>
      <c r="W58" s="63"/>
      <c r="X58" s="91"/>
    </row>
    <row r="59" spans="2:24" ht="13.5" customHeight="1">
      <c r="G59" s="85"/>
      <c r="M59" s="10" t="s">
        <v>244</v>
      </c>
      <c r="N59" s="56" t="e">
        <f>SUM(X45:X46)*100</f>
        <v>#NAME?</v>
      </c>
      <c r="W59" s="63"/>
      <c r="X59" s="91"/>
    </row>
    <row r="60" spans="2:24" ht="13.5" customHeight="1">
      <c r="G60" s="85"/>
      <c r="N60" s="56" t="e">
        <f>SUM(N50:N59)</f>
        <v>#NAME?</v>
      </c>
      <c r="W60" s="63"/>
      <c r="X60" s="91"/>
    </row>
    <row r="61" spans="2:24" ht="13.5" customHeight="1">
      <c r="G61" s="85"/>
      <c r="W61" s="63"/>
      <c r="X61" s="91"/>
    </row>
    <row r="62" spans="2:24" ht="13.5" customHeight="1">
      <c r="G62" s="85"/>
      <c r="N62" s="85"/>
      <c r="W62" s="63"/>
      <c r="X62" s="91"/>
    </row>
    <row r="63" spans="2:24" ht="13.5" customHeight="1">
      <c r="G63" s="85"/>
      <c r="W63" s="63"/>
      <c r="X63" s="91"/>
    </row>
    <row r="64" spans="2:24" ht="13.5" customHeight="1">
      <c r="G64" s="85"/>
      <c r="V64" s="14"/>
      <c r="W64" s="64"/>
      <c r="X64" s="85"/>
    </row>
    <row r="67" spans="2:23" ht="13.5" customHeight="1">
      <c r="V67" s="14"/>
      <c r="W67" s="107"/>
    </row>
    <row r="68" spans="2:23" s="82" customFormat="1" ht="13.5" customHeight="1"/>
    <row r="70" spans="2:23" ht="13.5" customHeight="1">
      <c r="C70" s="63"/>
      <c r="F70" s="85"/>
      <c r="H70" s="85"/>
      <c r="J70" s="85"/>
      <c r="N70" s="63"/>
      <c r="O70" s="63"/>
    </row>
    <row r="71" spans="2:23" ht="13.5" customHeight="1">
      <c r="C71" s="14">
        <v>2009</v>
      </c>
      <c r="D71" s="14">
        <v>2010</v>
      </c>
      <c r="E71" s="14">
        <v>2011</v>
      </c>
      <c r="F71" s="14">
        <v>2012</v>
      </c>
      <c r="G71" s="50" t="s">
        <v>232</v>
      </c>
      <c r="H71" s="50" t="s">
        <v>236</v>
      </c>
      <c r="I71" s="50" t="s">
        <v>263</v>
      </c>
      <c r="J71" s="50" t="s">
        <v>290</v>
      </c>
      <c r="K71" s="50" t="s">
        <v>291</v>
      </c>
      <c r="L71" s="50" t="s">
        <v>292</v>
      </c>
      <c r="N71" s="63"/>
      <c r="O71" s="63"/>
    </row>
    <row r="72" spans="2:23" ht="13.5" customHeight="1">
      <c r="B72" s="10" t="s">
        <v>207</v>
      </c>
      <c r="C72" s="63">
        <v>68.706999999999994</v>
      </c>
      <c r="D72" s="63">
        <v>69.908703834999997</v>
      </c>
      <c r="E72" s="63">
        <v>224.739</v>
      </c>
      <c r="F72" s="63">
        <f>566.58*0.448</f>
        <v>253.82784000000004</v>
      </c>
      <c r="G72" s="63">
        <v>250.98500000000001</v>
      </c>
      <c r="H72" s="88">
        <v>248.20500000000001</v>
      </c>
      <c r="I72" s="88">
        <v>254.08699999999999</v>
      </c>
      <c r="J72" s="10">
        <v>284</v>
      </c>
      <c r="K72" s="88">
        <v>287.99700000000001</v>
      </c>
      <c r="L72" s="88" t="e">
        <v>#NAME?</v>
      </c>
      <c r="N72" s="63"/>
      <c r="O72" s="63"/>
    </row>
    <row r="73" spans="2:23" ht="13.5" customHeight="1">
      <c r="B73" s="10" t="s">
        <v>208</v>
      </c>
      <c r="C73" s="63">
        <v>65.032986653999998</v>
      </c>
      <c r="D73" s="63">
        <v>102.43</v>
      </c>
      <c r="E73" s="63">
        <v>168.35400000000001</v>
      </c>
      <c r="F73" s="63">
        <f>566.58*0.306</f>
        <v>173.37348</v>
      </c>
      <c r="G73" s="63">
        <v>189.756</v>
      </c>
      <c r="H73" s="88">
        <v>192.31100000000001</v>
      </c>
      <c r="I73" s="88">
        <v>195.01300000000001</v>
      </c>
      <c r="J73" s="10">
        <v>230</v>
      </c>
      <c r="K73" s="88">
        <v>238.315</v>
      </c>
      <c r="L73" s="88" t="e">
        <v>#NAME?</v>
      </c>
      <c r="N73" s="63"/>
      <c r="O73" s="63"/>
    </row>
    <row r="74" spans="2:23" ht="13.5" customHeight="1">
      <c r="B74" s="10" t="s">
        <v>34</v>
      </c>
      <c r="C74" s="63">
        <v>223.994013346</v>
      </c>
      <c r="D74" s="63">
        <v>278.880296165</v>
      </c>
      <c r="E74" s="63">
        <v>168.45699999999999</v>
      </c>
      <c r="F74" s="63">
        <f>566.58*0.246</f>
        <v>139.37868</v>
      </c>
      <c r="G74" s="63">
        <v>124.785</v>
      </c>
      <c r="H74" s="88">
        <v>126.74100000000001</v>
      </c>
      <c r="I74" s="88">
        <v>127.104</v>
      </c>
      <c r="J74" s="10">
        <v>122</v>
      </c>
      <c r="K74" s="56">
        <v>116.029</v>
      </c>
      <c r="L74" s="88">
        <v>0</v>
      </c>
      <c r="N74" s="64"/>
      <c r="O74" s="64"/>
    </row>
    <row r="75" spans="2:23" ht="13.5" customHeight="1">
      <c r="B75" s="10" t="s">
        <v>26</v>
      </c>
      <c r="C75" s="64">
        <f>SUM(C72:C74)</f>
        <v>357.73400000000004</v>
      </c>
      <c r="D75" s="64">
        <f>SUM(D72:D74)</f>
        <v>451.21899999999999</v>
      </c>
      <c r="E75" s="64">
        <f>SUM(E72:E74)</f>
        <v>561.54999999999995</v>
      </c>
      <c r="F75" s="64">
        <f t="shared" ref="F75:L75" si="10">SUM(F72:F74)</f>
        <v>566.58000000000004</v>
      </c>
      <c r="G75" s="64">
        <f t="shared" si="10"/>
        <v>565.52599999999995</v>
      </c>
      <c r="H75" s="64">
        <f t="shared" si="10"/>
        <v>567.25700000000006</v>
      </c>
      <c r="I75" s="64">
        <f t="shared" si="10"/>
        <v>576.20400000000006</v>
      </c>
      <c r="J75" s="64">
        <f t="shared" si="10"/>
        <v>636</v>
      </c>
      <c r="K75" s="64">
        <f t="shared" si="10"/>
        <v>642.34100000000001</v>
      </c>
      <c r="L75" s="64" t="e">
        <f t="shared" si="10"/>
        <v>#NAME?</v>
      </c>
      <c r="O75" s="63"/>
    </row>
    <row r="76" spans="2:23" ht="13.5" customHeight="1">
      <c r="N76" s="50"/>
      <c r="O76" s="50"/>
    </row>
    <row r="77" spans="2:23" ht="13.5" customHeight="1">
      <c r="C77" s="14">
        <v>2009</v>
      </c>
      <c r="D77" s="14">
        <v>2010</v>
      </c>
      <c r="E77" s="14">
        <v>2011</v>
      </c>
      <c r="F77" s="14">
        <v>2012</v>
      </c>
      <c r="G77" s="50" t="s">
        <v>232</v>
      </c>
      <c r="H77" s="50" t="s">
        <v>236</v>
      </c>
      <c r="I77" s="50" t="s">
        <v>263</v>
      </c>
      <c r="J77" s="50" t="s">
        <v>290</v>
      </c>
      <c r="K77" s="50" t="s">
        <v>291</v>
      </c>
      <c r="L77" s="50" t="s">
        <v>292</v>
      </c>
      <c r="N77" s="85"/>
      <c r="O77" s="85"/>
    </row>
    <row r="78" spans="2:23" ht="13.5" customHeight="1">
      <c r="B78" s="10" t="s">
        <v>207</v>
      </c>
      <c r="C78" s="63">
        <f>(C72/$C$75)*100</f>
        <v>19.20616994750289</v>
      </c>
      <c r="D78" s="63">
        <f>(D72/$D$75)*100</f>
        <v>15.49329789636518</v>
      </c>
      <c r="E78" s="63">
        <f>(E72/$E$75)*100</f>
        <v>40.021191345383315</v>
      </c>
      <c r="F78" s="63">
        <v>45</v>
      </c>
      <c r="G78" s="63">
        <f>(G72/$G$75)*100</f>
        <v>44.38080654116699</v>
      </c>
      <c r="H78" s="63">
        <f>(H72/$H$75)*100</f>
        <v>43.7552996260954</v>
      </c>
      <c r="I78" s="63">
        <f>(I72/$I$75)*100</f>
        <v>44.09670880452061</v>
      </c>
      <c r="J78" s="63">
        <f>(J72/$J$75)*100</f>
        <v>44.654088050314463</v>
      </c>
      <c r="K78" s="63">
        <f>(K72/$K$75)*100</f>
        <v>44.835531283228072</v>
      </c>
      <c r="L78" s="63" t="e">
        <f>(L72/$L$75)*100</f>
        <v>#NAME?</v>
      </c>
      <c r="N78" s="85"/>
      <c r="O78" s="85"/>
    </row>
    <row r="79" spans="2:23" ht="13.5" customHeight="1">
      <c r="B79" s="10" t="s">
        <v>208</v>
      </c>
      <c r="C79" s="63">
        <f>(C73/$C$75)*100</f>
        <v>18.179146140428358</v>
      </c>
      <c r="D79" s="63">
        <f>(D73/$D$75)*100</f>
        <v>22.700728471097182</v>
      </c>
      <c r="E79" s="63">
        <f>(E73/$E$75)*100</f>
        <v>29.980233282877755</v>
      </c>
      <c r="F79" s="63">
        <v>31</v>
      </c>
      <c r="G79" s="63">
        <f>(G73/$G$75)*100</f>
        <v>33.553894957968339</v>
      </c>
      <c r="H79" s="63">
        <f>(H73/$H$75)*100</f>
        <v>33.901917473032505</v>
      </c>
      <c r="I79" s="63">
        <f>(I73/$I$75)*100</f>
        <v>33.844437039659567</v>
      </c>
      <c r="J79" s="63">
        <f>(J73/$J$75)*100</f>
        <v>36.163522012578611</v>
      </c>
      <c r="K79" s="63">
        <f>(K73/$K$75)*100</f>
        <v>37.101010211087257</v>
      </c>
      <c r="L79" s="63" t="e">
        <f>(L73/$L$75)*100</f>
        <v>#NAME?</v>
      </c>
      <c r="N79" s="85"/>
      <c r="O79" s="85"/>
    </row>
    <row r="80" spans="2:23" ht="13.5" customHeight="1">
      <c r="B80" s="10" t="s">
        <v>34</v>
      </c>
      <c r="C80" s="63">
        <f>(C74/$C$75)*100</f>
        <v>62.614683912068735</v>
      </c>
      <c r="D80" s="63">
        <f>(D74/$D$75)*100</f>
        <v>61.805973632537636</v>
      </c>
      <c r="E80" s="63">
        <f>(E74/$E$75)*100</f>
        <v>29.998575371738941</v>
      </c>
      <c r="F80" s="63">
        <v>24</v>
      </c>
      <c r="G80" s="63">
        <f>(G74/$G$75)*100</f>
        <v>22.065298500864682</v>
      </c>
      <c r="H80" s="63">
        <f>(H74/$H$75)*100</f>
        <v>22.342782900872091</v>
      </c>
      <c r="I80" s="63">
        <f>(I74/$I$75)*100</f>
        <v>22.058854155819812</v>
      </c>
      <c r="J80" s="63">
        <f>(J74/$J$75)*100</f>
        <v>19.182389937106919</v>
      </c>
      <c r="K80" s="63">
        <f>(K74/$K$75)*100</f>
        <v>18.063458505684675</v>
      </c>
      <c r="L80" s="63" t="e">
        <f>(L74/$L$75)*100</f>
        <v>#NAME?</v>
      </c>
      <c r="N80" s="85"/>
      <c r="O80" s="85"/>
    </row>
    <row r="81" spans="2:23" ht="13.5" customHeight="1">
      <c r="C81" s="64">
        <f t="shared" ref="C81:H81" si="11">SUM(C78:C80)</f>
        <v>99.999999999999972</v>
      </c>
      <c r="D81" s="64">
        <f t="shared" si="11"/>
        <v>100</v>
      </c>
      <c r="E81" s="64">
        <f t="shared" si="11"/>
        <v>100.00000000000001</v>
      </c>
      <c r="F81" s="64">
        <f t="shared" si="11"/>
        <v>100</v>
      </c>
      <c r="G81" s="64">
        <f t="shared" si="11"/>
        <v>100.00000000000001</v>
      </c>
      <c r="H81" s="64">
        <f t="shared" si="11"/>
        <v>100</v>
      </c>
      <c r="I81" s="64">
        <f>SUM(I78:I80)</f>
        <v>99.999999999999986</v>
      </c>
      <c r="J81" s="64">
        <f>SUM(J78:J80)</f>
        <v>99.999999999999986</v>
      </c>
      <c r="K81" s="64">
        <f>SUM(K78:K80)</f>
        <v>100</v>
      </c>
      <c r="L81" s="64" t="e">
        <f>SUM(L78:L80)</f>
        <v>#NAME?</v>
      </c>
      <c r="N81" s="85"/>
      <c r="O81" s="85"/>
    </row>
    <row r="82" spans="2:23" ht="13.5" customHeight="1">
      <c r="C82" s="85"/>
      <c r="D82" s="85"/>
      <c r="E82" s="85"/>
      <c r="F82" s="85"/>
      <c r="G82" s="85"/>
      <c r="H82" s="85"/>
      <c r="I82" s="85"/>
      <c r="J82" s="85"/>
      <c r="K82" s="85"/>
      <c r="L82" s="85"/>
      <c r="M82" s="85"/>
      <c r="N82" s="85"/>
      <c r="O82" s="85"/>
    </row>
    <row r="83" spans="2:23" ht="13.5" customHeight="1">
      <c r="C83" s="64"/>
      <c r="D83" s="64">
        <f>15+23+62</f>
        <v>100</v>
      </c>
      <c r="E83" s="64">
        <f>40+30+30</f>
        <v>100</v>
      </c>
      <c r="F83" s="64">
        <f>45+31+24</f>
        <v>100</v>
      </c>
      <c r="G83" s="64">
        <f>44+34+22</f>
        <v>100</v>
      </c>
      <c r="H83" s="85"/>
      <c r="I83" s="85"/>
      <c r="J83" s="85"/>
      <c r="K83" s="85"/>
      <c r="L83" s="85"/>
      <c r="M83" s="85"/>
      <c r="N83" s="85"/>
      <c r="O83" s="85"/>
    </row>
    <row r="84" spans="2:23" ht="13.5" customHeight="1">
      <c r="C84" s="85"/>
      <c r="D84" s="85"/>
      <c r="E84" s="85"/>
      <c r="F84" s="85"/>
      <c r="G84" s="85"/>
      <c r="H84" s="85"/>
      <c r="I84" s="85"/>
      <c r="J84" s="85"/>
      <c r="K84" s="85"/>
      <c r="L84" s="85"/>
      <c r="M84" s="85"/>
      <c r="N84" s="85"/>
      <c r="O84" s="85"/>
    </row>
    <row r="85" spans="2:23" ht="13.5" customHeight="1">
      <c r="C85" s="171"/>
      <c r="D85" s="171"/>
      <c r="E85" s="171"/>
      <c r="F85" s="171"/>
      <c r="G85" s="171"/>
      <c r="H85" s="171"/>
      <c r="I85" s="171"/>
      <c r="J85" s="171"/>
      <c r="K85" s="171"/>
      <c r="L85" s="171"/>
      <c r="M85" s="171"/>
      <c r="N85" s="171"/>
      <c r="O85" s="171"/>
    </row>
    <row r="86" spans="2:23" ht="13.5" customHeight="1">
      <c r="I86" s="10"/>
    </row>
    <row r="87" spans="2:23" ht="13.5" customHeight="1">
      <c r="C87" s="14">
        <v>2009</v>
      </c>
      <c r="D87" s="14">
        <v>2010</v>
      </c>
      <c r="E87" s="14">
        <v>2011</v>
      </c>
      <c r="F87" s="14">
        <v>2012</v>
      </c>
      <c r="G87" s="50" t="s">
        <v>232</v>
      </c>
      <c r="H87" s="50" t="s">
        <v>236</v>
      </c>
      <c r="I87" s="50" t="s">
        <v>263</v>
      </c>
      <c r="J87" s="50" t="s">
        <v>290</v>
      </c>
      <c r="K87" s="50" t="s">
        <v>291</v>
      </c>
      <c r="L87" s="50" t="s">
        <v>292</v>
      </c>
    </row>
    <row r="88" spans="2:23" ht="13.5" customHeight="1">
      <c r="B88" s="10" t="s">
        <v>28</v>
      </c>
      <c r="D88" s="63">
        <v>121.82913000000001</v>
      </c>
      <c r="E88" s="63">
        <v>239.28800000000001</v>
      </c>
      <c r="F88" s="63">
        <v>242.74299999999999</v>
      </c>
      <c r="G88" s="63">
        <f t="shared" ref="G88:L89" si="12">S27/1000</f>
        <v>247.245</v>
      </c>
      <c r="H88" s="63">
        <f t="shared" si="12"/>
        <v>253.86799999999999</v>
      </c>
      <c r="I88" s="63">
        <f t="shared" si="12"/>
        <v>256.62599999999998</v>
      </c>
      <c r="J88" s="63">
        <f>V27/1000</f>
        <v>310.49099999999999</v>
      </c>
      <c r="K88" s="63">
        <f t="shared" si="12"/>
        <v>311.94099999999997</v>
      </c>
      <c r="L88" s="63" t="e">
        <f t="shared" si="12"/>
        <v>#NAME?</v>
      </c>
    </row>
    <row r="89" spans="2:23" ht="13.5" customHeight="1">
      <c r="B89" s="10" t="s">
        <v>88</v>
      </c>
      <c r="D89" s="63">
        <v>329.38986999999997</v>
      </c>
      <c r="E89" s="63">
        <v>322.262</v>
      </c>
      <c r="F89" s="63">
        <v>323.83699999999999</v>
      </c>
      <c r="G89" s="63">
        <f t="shared" si="12"/>
        <v>318.28080439499996</v>
      </c>
      <c r="H89" s="63">
        <f t="shared" si="12"/>
        <v>313.38900000000001</v>
      </c>
      <c r="I89" s="63">
        <f t="shared" si="12"/>
        <v>319.57799999999997</v>
      </c>
      <c r="J89" s="63">
        <f t="shared" si="12"/>
        <v>325.28300000000002</v>
      </c>
      <c r="K89" s="63">
        <f t="shared" si="12"/>
        <v>330.4</v>
      </c>
      <c r="L89" s="63" t="e">
        <f t="shared" si="12"/>
        <v>#NAME?</v>
      </c>
    </row>
    <row r="90" spans="2:23" ht="13.5" customHeight="1">
      <c r="D90" s="64">
        <f>SUM(D88:D89)</f>
        <v>451.21899999999999</v>
      </c>
      <c r="E90" s="64">
        <f>SUM(E88:E89)</f>
        <v>561.54999999999995</v>
      </c>
      <c r="F90" s="64">
        <f t="shared" ref="F90:L90" si="13">SUM(F88:F89)</f>
        <v>566.57999999999993</v>
      </c>
      <c r="G90" s="64">
        <f t="shared" si="13"/>
        <v>565.52580439500002</v>
      </c>
      <c r="H90" s="64">
        <f t="shared" si="13"/>
        <v>567.25700000000006</v>
      </c>
      <c r="I90" s="64">
        <f t="shared" si="13"/>
        <v>576.20399999999995</v>
      </c>
      <c r="J90" s="64">
        <f t="shared" si="13"/>
        <v>635.774</v>
      </c>
      <c r="K90" s="64">
        <f t="shared" si="13"/>
        <v>642.34099999999989</v>
      </c>
      <c r="L90" s="64" t="e">
        <f t="shared" si="13"/>
        <v>#NAME?</v>
      </c>
    </row>
    <row r="91" spans="2:23" ht="13.5" customHeight="1">
      <c r="F91" s="85"/>
      <c r="G91" s="85"/>
      <c r="H91" s="85"/>
      <c r="I91" s="10"/>
    </row>
    <row r="92" spans="2:23" ht="13.5" customHeight="1">
      <c r="D92" s="14">
        <v>2010</v>
      </c>
      <c r="E92" s="14">
        <v>2011</v>
      </c>
      <c r="F92" s="14">
        <v>2012</v>
      </c>
      <c r="G92" s="50" t="s">
        <v>232</v>
      </c>
      <c r="H92" s="50" t="s">
        <v>236</v>
      </c>
      <c r="I92" s="50" t="s">
        <v>263</v>
      </c>
      <c r="J92" s="50" t="s">
        <v>290</v>
      </c>
      <c r="K92" s="50" t="s">
        <v>291</v>
      </c>
      <c r="L92" s="50" t="s">
        <v>292</v>
      </c>
      <c r="V92" s="10">
        <v>30</v>
      </c>
      <c r="W92" s="10">
        <v>62</v>
      </c>
    </row>
    <row r="93" spans="2:23" ht="13.5" customHeight="1">
      <c r="B93" s="10" t="s">
        <v>28</v>
      </c>
      <c r="D93" s="90">
        <f t="shared" ref="D93:L93" si="14">D88/D$90</f>
        <v>0.27</v>
      </c>
      <c r="E93" s="90">
        <f t="shared" si="14"/>
        <v>0.42612055916659253</v>
      </c>
      <c r="F93" s="90">
        <f t="shared" si="14"/>
        <v>0.4284355254333016</v>
      </c>
      <c r="G93" s="90">
        <f t="shared" si="14"/>
        <v>0.43719490442085646</v>
      </c>
      <c r="H93" s="90">
        <f t="shared" si="14"/>
        <v>0.44753612560091804</v>
      </c>
      <c r="I93" s="90">
        <f t="shared" si="14"/>
        <v>0.44537351354728533</v>
      </c>
      <c r="J93" s="90">
        <f t="shared" si="14"/>
        <v>0.48836693542044812</v>
      </c>
      <c r="K93" s="90">
        <f t="shared" si="14"/>
        <v>0.48563146366182453</v>
      </c>
      <c r="L93" s="90" t="e">
        <f t="shared" si="14"/>
        <v>#NAME?</v>
      </c>
      <c r="V93" s="10">
        <v>30</v>
      </c>
      <c r="W93" s="10">
        <v>23</v>
      </c>
    </row>
    <row r="94" spans="2:23" ht="13.5" customHeight="1">
      <c r="B94" s="10" t="s">
        <v>88</v>
      </c>
      <c r="D94" s="90">
        <f t="shared" ref="D94:L94" si="15">D89/D$90</f>
        <v>0.73</v>
      </c>
      <c r="E94" s="90">
        <f t="shared" si="15"/>
        <v>0.57387944083340758</v>
      </c>
      <c r="F94" s="90">
        <f t="shared" si="15"/>
        <v>0.57156447456669845</v>
      </c>
      <c r="G94" s="90">
        <f t="shared" si="15"/>
        <v>0.56280509557914349</v>
      </c>
      <c r="H94" s="90">
        <f t="shared" si="15"/>
        <v>0.55246387439908184</v>
      </c>
      <c r="I94" s="90">
        <f t="shared" si="15"/>
        <v>0.55462648645271462</v>
      </c>
      <c r="J94" s="90">
        <f t="shared" si="15"/>
        <v>0.51163306457955182</v>
      </c>
      <c r="K94" s="90">
        <f t="shared" si="15"/>
        <v>0.51436853633817559</v>
      </c>
      <c r="L94" s="90" t="e">
        <f t="shared" si="15"/>
        <v>#NAME?</v>
      </c>
      <c r="V94" s="10">
        <v>40</v>
      </c>
      <c r="W94" s="10">
        <v>15</v>
      </c>
    </row>
    <row r="95" spans="2:23" ht="13.5" customHeight="1">
      <c r="D95" s="171">
        <f t="shared" ref="D95:L95" si="16">SUM(D93:D94)</f>
        <v>1</v>
      </c>
      <c r="E95" s="171">
        <f t="shared" si="16"/>
        <v>1</v>
      </c>
      <c r="F95" s="171">
        <f t="shared" si="16"/>
        <v>1</v>
      </c>
      <c r="G95" s="171">
        <f t="shared" si="16"/>
        <v>1</v>
      </c>
      <c r="H95" s="171">
        <f t="shared" si="16"/>
        <v>0.99999999999999989</v>
      </c>
      <c r="I95" s="171">
        <f t="shared" si="16"/>
        <v>1</v>
      </c>
      <c r="J95" s="171">
        <f t="shared" si="16"/>
        <v>1</v>
      </c>
      <c r="K95" s="171">
        <f t="shared" si="16"/>
        <v>1</v>
      </c>
      <c r="L95" s="171" t="e">
        <f t="shared" si="16"/>
        <v>#NAME?</v>
      </c>
    </row>
    <row r="96" spans="2:23" ht="13.5" customHeight="1">
      <c r="I96" s="10"/>
    </row>
    <row r="97" spans="2:12" ht="13.5" customHeight="1">
      <c r="I97" s="10"/>
    </row>
    <row r="98" spans="2:12" ht="13.5" customHeight="1">
      <c r="C98" s="14">
        <v>2009</v>
      </c>
      <c r="D98" s="14">
        <v>2010</v>
      </c>
      <c r="E98" s="14">
        <v>2011</v>
      </c>
      <c r="F98" s="14">
        <v>2012</v>
      </c>
      <c r="G98" s="50" t="s">
        <v>232</v>
      </c>
      <c r="H98" s="50" t="s">
        <v>236</v>
      </c>
      <c r="I98" s="50" t="s">
        <v>263</v>
      </c>
      <c r="J98" s="50" t="s">
        <v>290</v>
      </c>
      <c r="K98" s="50" t="s">
        <v>291</v>
      </c>
      <c r="L98" s="50" t="s">
        <v>292</v>
      </c>
    </row>
    <row r="99" spans="2:12" ht="13.5" customHeight="1">
      <c r="B99" s="10" t="s">
        <v>245</v>
      </c>
      <c r="D99" s="10">
        <v>75</v>
      </c>
      <c r="E99" s="10">
        <v>196</v>
      </c>
      <c r="F99" s="10">
        <v>195</v>
      </c>
      <c r="G99" s="88">
        <v>201.38300000000001</v>
      </c>
      <c r="H99" s="88">
        <v>207.31299999999999</v>
      </c>
      <c r="I99" s="88">
        <v>212.01400000000001</v>
      </c>
      <c r="J99" s="88">
        <v>266.16800000000001</v>
      </c>
      <c r="K99" s="88">
        <v>267.791</v>
      </c>
      <c r="L99" s="88" t="e">
        <v>#NAME?</v>
      </c>
    </row>
    <row r="100" spans="2:12" ht="13.5" customHeight="1">
      <c r="I100" s="10"/>
    </row>
    <row r="101" spans="2:12" ht="13.5" customHeight="1">
      <c r="B101" s="14" t="s">
        <v>246</v>
      </c>
      <c r="C101" s="14">
        <v>2009</v>
      </c>
      <c r="D101" s="14">
        <v>2010</v>
      </c>
      <c r="E101" s="14">
        <v>2011</v>
      </c>
      <c r="F101" s="14">
        <v>2012</v>
      </c>
      <c r="G101" s="50" t="s">
        <v>232</v>
      </c>
      <c r="H101" s="50" t="s">
        <v>236</v>
      </c>
      <c r="I101" s="50" t="s">
        <v>263</v>
      </c>
    </row>
    <row r="102" spans="2:12" ht="13.5" customHeight="1">
      <c r="B102" s="10" t="s">
        <v>247</v>
      </c>
      <c r="F102" s="10">
        <v>60</v>
      </c>
      <c r="G102" s="10">
        <v>61</v>
      </c>
      <c r="I102" s="10"/>
    </row>
    <row r="103" spans="2:12" ht="13.5" customHeight="1">
      <c r="B103" s="10" t="s">
        <v>248</v>
      </c>
      <c r="F103" s="10">
        <v>104</v>
      </c>
      <c r="G103" s="10">
        <v>105</v>
      </c>
      <c r="I103" s="10"/>
    </row>
    <row r="104" spans="2:12" ht="13.5" customHeight="1">
      <c r="I104" s="10"/>
    </row>
    <row r="105" spans="2:12" ht="13.5" customHeight="1">
      <c r="I105" s="10"/>
    </row>
    <row r="106" spans="2:12" ht="13.5" customHeight="1">
      <c r="I106" s="10"/>
    </row>
    <row r="107" spans="2:12" ht="13.5" customHeight="1">
      <c r="I107" s="10"/>
    </row>
    <row r="108" spans="2:12" ht="13.5" customHeight="1">
      <c r="I108" s="10"/>
    </row>
    <row r="109" spans="2:12" ht="13.5" customHeight="1">
      <c r="I109" s="10"/>
    </row>
    <row r="110" spans="2:12" ht="13.5" customHeight="1">
      <c r="I110" s="10"/>
    </row>
    <row r="111" spans="2:12" ht="13.5" customHeight="1">
      <c r="I111" s="10"/>
    </row>
    <row r="112" spans="2:12" ht="13.5" customHeight="1">
      <c r="I112" s="10"/>
    </row>
    <row r="113" spans="2:18" ht="13.5" customHeight="1">
      <c r="I113" s="10"/>
    </row>
    <row r="114" spans="2:18" ht="13.5" customHeight="1">
      <c r="O114" s="85"/>
    </row>
    <row r="118" spans="2:18" s="82" customFormat="1" ht="13.5" customHeight="1"/>
    <row r="119" spans="2:18" ht="13.5" customHeight="1">
      <c r="E119" s="352">
        <v>2011</v>
      </c>
      <c r="F119" s="352"/>
      <c r="G119" s="352"/>
      <c r="H119" s="352"/>
      <c r="I119" s="353">
        <v>2012</v>
      </c>
      <c r="J119" s="353"/>
      <c r="K119" s="353"/>
      <c r="L119" s="353"/>
      <c r="M119" s="352">
        <v>2013</v>
      </c>
      <c r="N119" s="352"/>
      <c r="O119" s="352"/>
      <c r="P119" s="352"/>
    </row>
    <row r="120" spans="2:18" ht="13.5" customHeight="1">
      <c r="B120" s="14" t="s">
        <v>163</v>
      </c>
      <c r="C120" s="53">
        <v>2009</v>
      </c>
      <c r="D120" s="181">
        <v>2010</v>
      </c>
      <c r="E120" s="50" t="s">
        <v>112</v>
      </c>
      <c r="F120" s="50" t="s">
        <v>113</v>
      </c>
      <c r="G120" s="50" t="s">
        <v>114</v>
      </c>
      <c r="H120" s="181" t="s">
        <v>115</v>
      </c>
      <c r="I120" s="50" t="s">
        <v>112</v>
      </c>
      <c r="J120" s="50" t="s">
        <v>113</v>
      </c>
      <c r="K120" s="50" t="s">
        <v>114</v>
      </c>
      <c r="L120" s="181" t="s">
        <v>115</v>
      </c>
      <c r="M120" s="61" t="s">
        <v>112</v>
      </c>
      <c r="N120" s="61" t="s">
        <v>113</v>
      </c>
      <c r="O120" s="50" t="s">
        <v>114</v>
      </c>
      <c r="P120" s="50" t="s">
        <v>115</v>
      </c>
      <c r="Q120" s="50" t="s">
        <v>112</v>
      </c>
      <c r="R120" s="50" t="s">
        <v>113</v>
      </c>
    </row>
    <row r="121" spans="2:18" ht="13.5" customHeight="1">
      <c r="B121" s="10" t="s">
        <v>160</v>
      </c>
      <c r="C121" s="56">
        <v>147783</v>
      </c>
      <c r="D121" s="56">
        <v>198451</v>
      </c>
      <c r="E121" s="56">
        <v>199339.59742699997</v>
      </c>
      <c r="F121" s="56">
        <v>165270</v>
      </c>
      <c r="G121" s="56">
        <v>66799</v>
      </c>
      <c r="H121" s="56">
        <v>63982</v>
      </c>
      <c r="I121" s="12">
        <v>72304</v>
      </c>
      <c r="J121" s="56">
        <v>68693</v>
      </c>
      <c r="K121" s="56">
        <v>66619</v>
      </c>
      <c r="L121" s="56">
        <v>49997</v>
      </c>
      <c r="M121" s="56">
        <v>38564</v>
      </c>
      <c r="N121" s="12">
        <v>31555</v>
      </c>
      <c r="O121" s="12">
        <v>27866</v>
      </c>
      <c r="P121" s="56">
        <v>18013</v>
      </c>
      <c r="Q121" s="56">
        <v>21334</v>
      </c>
      <c r="R121" s="56" t="e">
        <v>#NAME?</v>
      </c>
    </row>
    <row r="122" spans="2:18" ht="13.5" customHeight="1">
      <c r="B122" s="10" t="s">
        <v>161</v>
      </c>
      <c r="C122" s="56">
        <v>11029.7133565523</v>
      </c>
      <c r="D122" s="56">
        <v>44239</v>
      </c>
      <c r="E122" s="56">
        <v>30579.656693361667</v>
      </c>
      <c r="F122" s="56">
        <v>24789</v>
      </c>
      <c r="G122" s="56">
        <v>19652</v>
      </c>
      <c r="H122" s="56">
        <v>24684</v>
      </c>
      <c r="I122" s="12">
        <v>24112</v>
      </c>
      <c r="J122" s="56">
        <v>21061</v>
      </c>
      <c r="K122" s="56">
        <v>17271</v>
      </c>
      <c r="L122" s="56">
        <v>20574.054725999998</v>
      </c>
      <c r="M122" s="10">
        <v>18949</v>
      </c>
      <c r="N122" s="12">
        <v>16747</v>
      </c>
      <c r="O122" s="12">
        <v>19360.249524309998</v>
      </c>
      <c r="P122" s="56">
        <v>21743.922628</v>
      </c>
      <c r="Q122" s="56">
        <v>17966.245948</v>
      </c>
      <c r="R122" s="56" t="e">
        <v>#NAME?</v>
      </c>
    </row>
    <row r="123" spans="2:18" ht="13.5" customHeight="1">
      <c r="B123" s="14" t="s">
        <v>162</v>
      </c>
      <c r="C123" s="57">
        <f>SUM(C121:C122)</f>
        <v>158812.7133565523</v>
      </c>
      <c r="D123" s="57">
        <f>SUM(D121:D122)</f>
        <v>242690</v>
      </c>
      <c r="E123" s="57">
        <f t="shared" ref="E123:P123" si="17">SUM(E121:E122)</f>
        <v>229919.25412036164</v>
      </c>
      <c r="F123" s="57">
        <f t="shared" si="17"/>
        <v>190059</v>
      </c>
      <c r="G123" s="57">
        <f t="shared" si="17"/>
        <v>86451</v>
      </c>
      <c r="H123" s="57">
        <f t="shared" si="17"/>
        <v>88666</v>
      </c>
      <c r="I123" s="57">
        <f t="shared" si="17"/>
        <v>96416</v>
      </c>
      <c r="J123" s="57">
        <f t="shared" si="17"/>
        <v>89754</v>
      </c>
      <c r="K123" s="57">
        <f t="shared" si="17"/>
        <v>83890</v>
      </c>
      <c r="L123" s="57">
        <f t="shared" si="17"/>
        <v>70571.054726000002</v>
      </c>
      <c r="M123" s="57">
        <f t="shared" si="17"/>
        <v>57513</v>
      </c>
      <c r="N123" s="57">
        <f t="shared" si="17"/>
        <v>48302</v>
      </c>
      <c r="O123" s="57">
        <f t="shared" si="17"/>
        <v>47226.249524309998</v>
      </c>
      <c r="P123" s="57">
        <f t="shared" si="17"/>
        <v>39756.922628</v>
      </c>
      <c r="Q123" s="57">
        <f>SUM(Q121:Q122)</f>
        <v>39300.245947999996</v>
      </c>
      <c r="R123" s="57" t="e">
        <f>SUM(R121:R122)</f>
        <v>#NAME?</v>
      </c>
    </row>
    <row r="124" spans="2:18" ht="13.5" customHeight="1">
      <c r="B124" s="10" t="s">
        <v>24</v>
      </c>
      <c r="C124" s="56" t="e">
        <f>#REF!</f>
        <v>#REF!</v>
      </c>
      <c r="D124" s="56" t="e">
        <f>#REF!</f>
        <v>#REF!</v>
      </c>
      <c r="E124" s="56" t="e">
        <f>#REF!</f>
        <v>#REF!</v>
      </c>
      <c r="F124" s="56" t="e">
        <f>#REF!</f>
        <v>#REF!</v>
      </c>
      <c r="G124" s="56" t="e">
        <f>#REF!</f>
        <v>#REF!</v>
      </c>
      <c r="H124" s="56" t="e">
        <f>#REF!</f>
        <v>#REF!</v>
      </c>
      <c r="I124" s="56" t="e">
        <f>#REF!</f>
        <v>#REF!</v>
      </c>
      <c r="J124" s="56" t="e">
        <f>#REF!</f>
        <v>#REF!</v>
      </c>
      <c r="K124" s="56" t="e">
        <f>#REF!</f>
        <v>#REF!</v>
      </c>
      <c r="L124" s="56" t="e">
        <f>#REF!</f>
        <v>#REF!</v>
      </c>
      <c r="M124" s="56" t="e">
        <f>#REF!</f>
        <v>#REF!</v>
      </c>
      <c r="N124" s="56" t="e">
        <f>#REF!</f>
        <v>#REF!</v>
      </c>
      <c r="O124" s="56" t="e">
        <f>#REF!</f>
        <v>#REF!</v>
      </c>
      <c r="P124" s="56" t="e">
        <f>#REF!</f>
        <v>#REF!</v>
      </c>
      <c r="Q124" s="56" t="e">
        <f>#REF!</f>
        <v>#REF!</v>
      </c>
      <c r="R124" s="56" t="e">
        <f>#REF!</f>
        <v>#REF!</v>
      </c>
    </row>
    <row r="125" spans="2:18" ht="13.5" customHeight="1">
      <c r="B125" s="14" t="s">
        <v>159</v>
      </c>
      <c r="C125" s="182" t="e">
        <f>C123/C124</f>
        <v>#REF!</v>
      </c>
      <c r="D125" s="182" t="e">
        <f>D123/D124</f>
        <v>#REF!</v>
      </c>
      <c r="E125" s="182" t="e">
        <f t="shared" ref="E125:L125" si="18">E123/E124</f>
        <v>#REF!</v>
      </c>
      <c r="F125" s="182" t="e">
        <f t="shared" si="18"/>
        <v>#REF!</v>
      </c>
      <c r="G125" s="182" t="e">
        <f t="shared" si="18"/>
        <v>#REF!</v>
      </c>
      <c r="H125" s="182" t="e">
        <f t="shared" si="18"/>
        <v>#REF!</v>
      </c>
      <c r="I125" s="182" t="e">
        <f t="shared" si="18"/>
        <v>#REF!</v>
      </c>
      <c r="J125" s="182" t="e">
        <f t="shared" si="18"/>
        <v>#REF!</v>
      </c>
      <c r="K125" s="182" t="e">
        <f t="shared" si="18"/>
        <v>#REF!</v>
      </c>
      <c r="L125" s="182" t="e">
        <f t="shared" si="18"/>
        <v>#REF!</v>
      </c>
      <c r="M125" s="183" t="e">
        <f t="shared" ref="M125:R125" si="19">M123/M124</f>
        <v>#REF!</v>
      </c>
      <c r="N125" s="183" t="e">
        <f t="shared" si="19"/>
        <v>#REF!</v>
      </c>
      <c r="O125" s="183" t="e">
        <f t="shared" si="19"/>
        <v>#REF!</v>
      </c>
      <c r="P125" s="183" t="e">
        <f t="shared" si="19"/>
        <v>#REF!</v>
      </c>
      <c r="Q125" s="183" t="e">
        <f t="shared" si="19"/>
        <v>#REF!</v>
      </c>
      <c r="R125" s="183" t="e">
        <f t="shared" si="19"/>
        <v>#NAME?</v>
      </c>
    </row>
    <row r="126" spans="2:18" ht="13.5" customHeight="1">
      <c r="B126" s="10" t="s">
        <v>264</v>
      </c>
      <c r="C126" s="41"/>
      <c r="D126" s="41"/>
      <c r="E126" s="41"/>
      <c r="F126" s="41"/>
      <c r="G126" s="41"/>
      <c r="H126" s="41"/>
      <c r="I126" s="41"/>
      <c r="J126" s="41"/>
      <c r="K126" s="41"/>
      <c r="L126" s="41"/>
      <c r="M126" s="41"/>
      <c r="N126" s="41"/>
      <c r="O126" s="41"/>
    </row>
    <row r="127" spans="2:18" ht="13.5" customHeight="1">
      <c r="L127" s="56"/>
      <c r="M127" s="11"/>
    </row>
    <row r="128" spans="2:18" ht="13.5" customHeight="1">
      <c r="M128" s="11"/>
    </row>
    <row r="129" spans="2:22" ht="13.5" customHeight="1">
      <c r="B129" s="14"/>
      <c r="C129" s="53">
        <v>2009</v>
      </c>
      <c r="D129" s="181">
        <v>2010</v>
      </c>
      <c r="E129" s="50" t="s">
        <v>112</v>
      </c>
      <c r="F129" s="50" t="s">
        <v>113</v>
      </c>
      <c r="G129" s="50" t="s">
        <v>114</v>
      </c>
      <c r="H129" s="181" t="s">
        <v>115</v>
      </c>
      <c r="I129" s="50" t="s">
        <v>112</v>
      </c>
      <c r="J129" s="50" t="s">
        <v>113</v>
      </c>
      <c r="K129" s="50" t="s">
        <v>114</v>
      </c>
      <c r="L129" s="181" t="s">
        <v>115</v>
      </c>
      <c r="M129" s="61" t="str">
        <f>+M120</f>
        <v>Q1</v>
      </c>
      <c r="N129" s="61" t="s">
        <v>113</v>
      </c>
      <c r="O129" s="50" t="s">
        <v>114</v>
      </c>
      <c r="P129" s="50" t="s">
        <v>115</v>
      </c>
      <c r="Q129" s="50" t="s">
        <v>112</v>
      </c>
      <c r="R129" s="50" t="s">
        <v>113</v>
      </c>
    </row>
    <row r="130" spans="2:22" ht="13.5" customHeight="1">
      <c r="B130" s="10" t="s">
        <v>165</v>
      </c>
      <c r="C130" s="56">
        <v>81523.865051633198</v>
      </c>
      <c r="D130" s="56">
        <v>111449.49647899999</v>
      </c>
      <c r="E130" s="56">
        <v>116504.571023</v>
      </c>
      <c r="F130" s="56">
        <v>89382.511243999994</v>
      </c>
      <c r="G130" s="56">
        <v>64455.790651000003</v>
      </c>
      <c r="H130" s="56">
        <v>59261.664843999999</v>
      </c>
      <c r="I130" s="56">
        <v>59521.471209000003</v>
      </c>
      <c r="J130" s="56">
        <v>46580.079325999999</v>
      </c>
      <c r="K130" s="56">
        <v>38795.313749000001</v>
      </c>
      <c r="L130" s="56">
        <v>33934.220321000001</v>
      </c>
      <c r="M130" s="56">
        <v>31502</v>
      </c>
      <c r="N130" s="56">
        <v>31544</v>
      </c>
      <c r="O130" s="56">
        <f>33399</f>
        <v>33399</v>
      </c>
      <c r="P130" s="56">
        <v>28757.285471000003</v>
      </c>
      <c r="Q130" s="56">
        <v>26855.711662999998</v>
      </c>
      <c r="R130" s="238"/>
    </row>
    <row r="131" spans="2:22" ht="13.5" customHeight="1">
      <c r="B131" s="10" t="s">
        <v>24</v>
      </c>
      <c r="C131" s="56" t="e">
        <f t="shared" ref="C131:Q131" si="20">C124</f>
        <v>#REF!</v>
      </c>
      <c r="D131" s="56" t="e">
        <f t="shared" si="20"/>
        <v>#REF!</v>
      </c>
      <c r="E131" s="56" t="e">
        <f t="shared" si="20"/>
        <v>#REF!</v>
      </c>
      <c r="F131" s="56" t="e">
        <f t="shared" si="20"/>
        <v>#REF!</v>
      </c>
      <c r="G131" s="56" t="e">
        <f t="shared" si="20"/>
        <v>#REF!</v>
      </c>
      <c r="H131" s="56" t="e">
        <f t="shared" si="20"/>
        <v>#REF!</v>
      </c>
      <c r="I131" s="56" t="e">
        <f t="shared" si="20"/>
        <v>#REF!</v>
      </c>
      <c r="J131" s="56" t="e">
        <f t="shared" si="20"/>
        <v>#REF!</v>
      </c>
      <c r="K131" s="56" t="e">
        <f t="shared" si="20"/>
        <v>#REF!</v>
      </c>
      <c r="L131" s="56" t="e">
        <f t="shared" si="20"/>
        <v>#REF!</v>
      </c>
      <c r="M131" s="56" t="e">
        <f t="shared" si="20"/>
        <v>#REF!</v>
      </c>
      <c r="N131" s="56" t="e">
        <f t="shared" si="20"/>
        <v>#REF!</v>
      </c>
      <c r="O131" s="56" t="e">
        <f t="shared" si="20"/>
        <v>#REF!</v>
      </c>
      <c r="P131" s="56" t="e">
        <f t="shared" si="20"/>
        <v>#REF!</v>
      </c>
      <c r="Q131" s="56" t="e">
        <f t="shared" si="20"/>
        <v>#REF!</v>
      </c>
      <c r="R131" s="238"/>
    </row>
    <row r="132" spans="2:22" ht="13.5" customHeight="1">
      <c r="B132" s="14" t="s">
        <v>166</v>
      </c>
      <c r="C132" s="182" t="e">
        <f t="shared" ref="C132:K132" si="21">C130/C131</f>
        <v>#REF!</v>
      </c>
      <c r="D132" s="182" t="e">
        <f t="shared" si="21"/>
        <v>#REF!</v>
      </c>
      <c r="E132" s="182" t="e">
        <f t="shared" si="21"/>
        <v>#REF!</v>
      </c>
      <c r="F132" s="182" t="e">
        <f t="shared" si="21"/>
        <v>#REF!</v>
      </c>
      <c r="G132" s="182" t="e">
        <f t="shared" si="21"/>
        <v>#REF!</v>
      </c>
      <c r="H132" s="182" t="e">
        <f t="shared" si="21"/>
        <v>#REF!</v>
      </c>
      <c r="I132" s="182" t="e">
        <f t="shared" si="21"/>
        <v>#REF!</v>
      </c>
      <c r="J132" s="182" t="e">
        <f t="shared" si="21"/>
        <v>#REF!</v>
      </c>
      <c r="K132" s="182" t="e">
        <f t="shared" si="21"/>
        <v>#REF!</v>
      </c>
      <c r="L132" s="182" t="e">
        <f>(L130/L131)</f>
        <v>#REF!</v>
      </c>
      <c r="M132" s="182" t="e">
        <f t="shared" ref="M132:R132" si="22">(M130/M131)</f>
        <v>#REF!</v>
      </c>
      <c r="N132" s="182" t="e">
        <f t="shared" si="22"/>
        <v>#REF!</v>
      </c>
      <c r="O132" s="182" t="e">
        <f t="shared" si="22"/>
        <v>#REF!</v>
      </c>
      <c r="P132" s="182" t="e">
        <f t="shared" si="22"/>
        <v>#REF!</v>
      </c>
      <c r="Q132" s="182" t="e">
        <f t="shared" si="22"/>
        <v>#REF!</v>
      </c>
      <c r="R132" s="182" t="e">
        <f t="shared" si="22"/>
        <v>#DIV/0!</v>
      </c>
      <c r="S132" s="54"/>
    </row>
    <row r="133" spans="2:22" ht="13.5" customHeight="1">
      <c r="M133" s="11"/>
    </row>
    <row r="134" spans="2:22" ht="13.5" customHeight="1">
      <c r="M134" s="11"/>
    </row>
    <row r="135" spans="2:22" ht="13.5" customHeight="1">
      <c r="C135" s="53">
        <v>2009</v>
      </c>
      <c r="D135" s="181">
        <v>2010</v>
      </c>
      <c r="E135" s="50" t="s">
        <v>112</v>
      </c>
      <c r="F135" s="50" t="s">
        <v>113</v>
      </c>
      <c r="G135" s="50" t="s">
        <v>114</v>
      </c>
      <c r="H135" s="181" t="s">
        <v>115</v>
      </c>
      <c r="I135" s="50" t="s">
        <v>112</v>
      </c>
      <c r="J135" s="50" t="s">
        <v>113</v>
      </c>
      <c r="K135" s="50" t="s">
        <v>114</v>
      </c>
      <c r="L135" s="181" t="s">
        <v>115</v>
      </c>
      <c r="M135" s="61" t="str">
        <f>+M120</f>
        <v>Q1</v>
      </c>
      <c r="N135" s="61" t="s">
        <v>113</v>
      </c>
      <c r="O135" s="50" t="s">
        <v>114</v>
      </c>
      <c r="P135" s="50" t="s">
        <v>115</v>
      </c>
      <c r="Q135" s="50" t="s">
        <v>112</v>
      </c>
      <c r="R135" s="50" t="s">
        <v>113</v>
      </c>
    </row>
    <row r="136" spans="2:22" ht="13.5" customHeight="1">
      <c r="B136" s="14" t="s">
        <v>158</v>
      </c>
      <c r="C136" s="57">
        <f t="shared" ref="C136:L136" si="23">C123</f>
        <v>158812.7133565523</v>
      </c>
      <c r="D136" s="57">
        <f t="shared" si="23"/>
        <v>242690</v>
      </c>
      <c r="E136" s="57">
        <f t="shared" si="23"/>
        <v>229919.25412036164</v>
      </c>
      <c r="F136" s="57">
        <f t="shared" si="23"/>
        <v>190059</v>
      </c>
      <c r="G136" s="57">
        <f t="shared" si="23"/>
        <v>86451</v>
      </c>
      <c r="H136" s="57">
        <f t="shared" si="23"/>
        <v>88666</v>
      </c>
      <c r="I136" s="57">
        <f t="shared" si="23"/>
        <v>96416</v>
      </c>
      <c r="J136" s="57">
        <f t="shared" si="23"/>
        <v>89754</v>
      </c>
      <c r="K136" s="57">
        <f t="shared" si="23"/>
        <v>83890</v>
      </c>
      <c r="L136" s="57">
        <f t="shared" si="23"/>
        <v>70571.054726000002</v>
      </c>
      <c r="M136" s="84">
        <f t="shared" ref="M136:R136" si="24">M123</f>
        <v>57513</v>
      </c>
      <c r="N136" s="84">
        <f t="shared" si="24"/>
        <v>48302</v>
      </c>
      <c r="O136" s="84">
        <f t="shared" si="24"/>
        <v>47226.249524309998</v>
      </c>
      <c r="P136" s="84">
        <f t="shared" si="24"/>
        <v>39756.922628</v>
      </c>
      <c r="Q136" s="84">
        <f t="shared" si="24"/>
        <v>39300.245947999996</v>
      </c>
      <c r="R136" s="84" t="e">
        <f t="shared" si="24"/>
        <v>#NAME?</v>
      </c>
    </row>
    <row r="137" spans="2:22" ht="4.5" customHeight="1">
      <c r="C137" s="56"/>
      <c r="D137" s="56"/>
      <c r="E137" s="56"/>
      <c r="F137" s="56"/>
      <c r="G137" s="56"/>
      <c r="H137" s="56"/>
      <c r="I137" s="56"/>
      <c r="J137" s="56"/>
      <c r="K137" s="56"/>
      <c r="L137" s="56"/>
      <c r="M137" s="12"/>
    </row>
    <row r="138" spans="2:22" ht="13.5" customHeight="1">
      <c r="B138" s="14" t="s">
        <v>216</v>
      </c>
      <c r="I138" s="10"/>
      <c r="M138" s="11"/>
      <c r="T138" s="220"/>
      <c r="U138" s="220"/>
      <c r="V138" s="220"/>
    </row>
    <row r="139" spans="2:22" ht="13.5" customHeight="1">
      <c r="B139" s="10" t="s">
        <v>217</v>
      </c>
      <c r="C139" s="56">
        <f>C130</f>
        <v>81523.865051633198</v>
      </c>
      <c r="D139" s="56">
        <f t="shared" ref="D139:J139" si="25">D130</f>
        <v>111449.49647899999</v>
      </c>
      <c r="E139" s="56">
        <f t="shared" si="25"/>
        <v>116504.571023</v>
      </c>
      <c r="F139" s="56">
        <f t="shared" si="25"/>
        <v>89382.511243999994</v>
      </c>
      <c r="G139" s="56">
        <f t="shared" si="25"/>
        <v>64455.790651000003</v>
      </c>
      <c r="H139" s="56">
        <f t="shared" si="25"/>
        <v>59261.664843999999</v>
      </c>
      <c r="I139" s="56">
        <f t="shared" si="25"/>
        <v>59521.471209000003</v>
      </c>
      <c r="J139" s="56">
        <f t="shared" si="25"/>
        <v>46580.079325999999</v>
      </c>
      <c r="K139" s="56">
        <f>K130</f>
        <v>38795.313749000001</v>
      </c>
      <c r="L139" s="240">
        <v>17674.001953999999</v>
      </c>
      <c r="M139" s="240">
        <v>15736.439423</v>
      </c>
      <c r="N139" s="240">
        <v>14731.78896</v>
      </c>
      <c r="O139" s="56">
        <v>15094.035858310001</v>
      </c>
      <c r="P139" s="56">
        <v>8047.4705249999997</v>
      </c>
      <c r="Q139" s="56">
        <v>7348.8358939999998</v>
      </c>
      <c r="R139" s="238"/>
      <c r="T139" s="56"/>
      <c r="U139" s="56"/>
      <c r="V139" s="56"/>
    </row>
    <row r="140" spans="2:22" ht="13.5" customHeight="1">
      <c r="B140" s="10" t="s">
        <v>295</v>
      </c>
      <c r="C140" s="56"/>
      <c r="D140" s="56"/>
      <c r="E140" s="56"/>
      <c r="F140" s="56"/>
      <c r="G140" s="56"/>
      <c r="H140" s="56"/>
      <c r="I140" s="56"/>
      <c r="J140" s="56"/>
      <c r="K140" s="56"/>
      <c r="L140" s="240"/>
      <c r="M140" s="240"/>
      <c r="N140" s="240"/>
      <c r="O140" s="56"/>
      <c r="P140" s="56">
        <v>12280.161994</v>
      </c>
      <c r="Q140" s="56">
        <v>7631.0278500000004</v>
      </c>
      <c r="R140" s="238"/>
      <c r="T140" s="56"/>
      <c r="U140" s="56"/>
      <c r="V140" s="56"/>
    </row>
    <row r="141" spans="2:22" ht="13.5" customHeight="1">
      <c r="B141" s="10" t="s">
        <v>218</v>
      </c>
      <c r="D141" s="56"/>
      <c r="E141" s="56"/>
      <c r="F141" s="56"/>
      <c r="G141" s="56"/>
      <c r="H141" s="56"/>
      <c r="I141" s="56"/>
      <c r="J141" s="56"/>
      <c r="K141" s="56">
        <v>11455.235414000001</v>
      </c>
      <c r="L141" s="240">
        <v>11903.109598999999</v>
      </c>
      <c r="M141" s="240">
        <v>11179.293931000002</v>
      </c>
      <c r="N141" s="240">
        <v>13820.697561000001</v>
      </c>
      <c r="O141" s="56">
        <v>14163.498244999999</v>
      </c>
      <c r="P141" s="56">
        <v>5985.3139540000002</v>
      </c>
      <c r="Q141" s="56">
        <v>7458.5904890000002</v>
      </c>
      <c r="R141" s="238"/>
      <c r="T141" s="56"/>
      <c r="U141" s="56"/>
      <c r="V141" s="56"/>
    </row>
    <row r="142" spans="2:22" ht="13.5" customHeight="1">
      <c r="B142" s="10" t="s">
        <v>224</v>
      </c>
      <c r="C142" s="56"/>
      <c r="D142" s="56"/>
      <c r="E142" s="56"/>
      <c r="F142" s="56"/>
      <c r="G142" s="56"/>
      <c r="H142" s="56"/>
      <c r="I142" s="56"/>
      <c r="J142" s="56"/>
      <c r="K142" s="56"/>
      <c r="L142" s="240">
        <v>4792.8562600000005</v>
      </c>
      <c r="M142" s="240">
        <v>5475.999433</v>
      </c>
      <c r="N142" s="240">
        <v>2991.1448500000001</v>
      </c>
      <c r="O142" s="56">
        <v>2998.8754039999999</v>
      </c>
      <c r="P142" s="56">
        <v>2297.6531070000001</v>
      </c>
      <c r="Q142" s="56">
        <v>4266.2999770000006</v>
      </c>
      <c r="R142" s="238"/>
      <c r="T142" s="56"/>
      <c r="U142" s="56"/>
      <c r="V142" s="56"/>
    </row>
    <row r="143" spans="2:22" ht="13.5" customHeight="1">
      <c r="B143" s="10" t="s">
        <v>170</v>
      </c>
      <c r="C143" s="56"/>
      <c r="D143" s="56"/>
      <c r="E143" s="56"/>
      <c r="F143" s="56"/>
      <c r="G143" s="56"/>
      <c r="H143" s="56"/>
      <c r="I143" s="56"/>
      <c r="J143" s="56"/>
      <c r="K143" s="56">
        <v>10974.649598</v>
      </c>
      <c r="L143" s="240">
        <v>23842.260987000001</v>
      </c>
      <c r="M143" s="240">
        <v>10026.821169999999</v>
      </c>
      <c r="N143" s="240">
        <v>8485.3502019999996</v>
      </c>
      <c r="O143" s="56">
        <v>988.62668299999996</v>
      </c>
      <c r="P143" s="56">
        <v>146.685891</v>
      </c>
      <c r="Q143" s="56">
        <v>150.95745299999999</v>
      </c>
      <c r="R143" s="238"/>
      <c r="T143" s="56"/>
      <c r="U143" s="56"/>
      <c r="V143" s="56"/>
    </row>
    <row r="144" spans="2:22" ht="13.5" customHeight="1">
      <c r="B144" s="10" t="s">
        <v>169</v>
      </c>
      <c r="C144" s="56"/>
      <c r="D144" s="56"/>
      <c r="E144" s="56"/>
      <c r="F144" s="56"/>
      <c r="G144" s="56"/>
      <c r="H144" s="56"/>
      <c r="I144" s="56"/>
      <c r="J144" s="56"/>
      <c r="K144" s="56">
        <v>4643.1186710000002</v>
      </c>
      <c r="L144" s="240">
        <v>5961.0330089999998</v>
      </c>
      <c r="M144" s="240">
        <v>9412.0259059999917</v>
      </c>
      <c r="N144" s="240">
        <v>2242.2660519999999</v>
      </c>
      <c r="O144" s="56">
        <v>7574.9309380000004</v>
      </c>
      <c r="P144" s="56">
        <v>1710.382883</v>
      </c>
      <c r="Q144" s="56">
        <v>1342.5658410000001</v>
      </c>
      <c r="R144" s="238"/>
      <c r="T144" s="56"/>
      <c r="U144" s="56"/>
      <c r="V144" s="56"/>
    </row>
    <row r="145" spans="2:22" ht="13.5" customHeight="1">
      <c r="B145" s="10" t="s">
        <v>186</v>
      </c>
      <c r="C145" s="56"/>
      <c r="D145" s="56"/>
      <c r="E145" s="56"/>
      <c r="F145" s="56"/>
      <c r="G145" s="56"/>
      <c r="H145" s="56"/>
      <c r="I145" s="56"/>
      <c r="J145" s="56"/>
      <c r="K145" s="56">
        <v>1186.2668200000001</v>
      </c>
      <c r="L145" s="240">
        <v>4860.337329</v>
      </c>
      <c r="M145" s="240">
        <v>4143.4544580000002</v>
      </c>
      <c r="N145" s="240">
        <v>895.91383599999995</v>
      </c>
      <c r="O145" s="56">
        <v>682.79699699999992</v>
      </c>
      <c r="P145" s="56">
        <v>521.68386299999997</v>
      </c>
      <c r="Q145" s="56">
        <v>2112.7957660000002</v>
      </c>
      <c r="R145" s="238"/>
      <c r="T145" s="56"/>
      <c r="U145" s="56"/>
      <c r="V145" s="56"/>
    </row>
    <row r="146" spans="2:22" ht="13.5" customHeight="1">
      <c r="B146" s="10" t="s">
        <v>222</v>
      </c>
      <c r="C146" s="56"/>
      <c r="D146" s="56"/>
      <c r="E146" s="56"/>
      <c r="F146" s="56"/>
      <c r="G146" s="56"/>
      <c r="H146" s="56"/>
      <c r="I146" s="56"/>
      <c r="J146" s="56"/>
      <c r="K146" s="56"/>
      <c r="L146" s="240">
        <v>4792.8562600000005</v>
      </c>
      <c r="M146" s="240">
        <v>0</v>
      </c>
      <c r="N146" s="240">
        <v>570.47384999999997</v>
      </c>
      <c r="O146" s="56">
        <v>0</v>
      </c>
      <c r="P146" s="56">
        <v>1570.273614</v>
      </c>
      <c r="Q146" s="56">
        <v>3350.9218919999998</v>
      </c>
      <c r="R146" s="238"/>
      <c r="T146" s="56"/>
      <c r="U146" s="56"/>
      <c r="V146" s="56"/>
    </row>
    <row r="147" spans="2:22" ht="13.5" customHeight="1">
      <c r="B147" s="10" t="s">
        <v>221</v>
      </c>
      <c r="C147" s="56"/>
      <c r="D147" s="56"/>
      <c r="E147" s="56"/>
      <c r="F147" s="56"/>
      <c r="G147" s="56"/>
      <c r="H147" s="56"/>
      <c r="I147" s="56"/>
      <c r="J147" s="56"/>
      <c r="K147" s="56"/>
      <c r="L147" s="240">
        <v>1537.4555880000078</v>
      </c>
      <c r="M147" s="240">
        <v>1538.7567840000002</v>
      </c>
      <c r="N147" s="240">
        <v>4563.9942070000061</v>
      </c>
      <c r="O147" s="56">
        <v>5723</v>
      </c>
      <c r="P147" s="56">
        <v>7197.8104498740104</v>
      </c>
      <c r="Q147" s="56">
        <v>5637.1026978143045</v>
      </c>
      <c r="R147" s="238"/>
      <c r="T147" s="56"/>
      <c r="U147" s="56"/>
      <c r="V147" s="56"/>
    </row>
    <row r="148" spans="2:22" ht="13.5" customHeight="1">
      <c r="B148" s="14" t="s">
        <v>26</v>
      </c>
      <c r="C148" s="57">
        <f t="shared" ref="C148:K148" si="26">SUM(C139:C145)</f>
        <v>81523.865051633198</v>
      </c>
      <c r="D148" s="57">
        <f t="shared" si="26"/>
        <v>111449.49647899999</v>
      </c>
      <c r="E148" s="57">
        <f t="shared" si="26"/>
        <v>116504.571023</v>
      </c>
      <c r="F148" s="57">
        <f t="shared" si="26"/>
        <v>89382.511243999994</v>
      </c>
      <c r="G148" s="57">
        <f t="shared" si="26"/>
        <v>64455.790651000003</v>
      </c>
      <c r="H148" s="57">
        <f t="shared" si="26"/>
        <v>59261.664843999999</v>
      </c>
      <c r="I148" s="57">
        <f t="shared" si="26"/>
        <v>59521.471209000003</v>
      </c>
      <c r="J148" s="57">
        <f t="shared" si="26"/>
        <v>46580.079325999999</v>
      </c>
      <c r="K148" s="57">
        <f t="shared" si="26"/>
        <v>67054.584252000015</v>
      </c>
      <c r="L148" s="57">
        <f t="shared" ref="L148:Q148" si="27">SUM(L139:L147)</f>
        <v>75363.910986000003</v>
      </c>
      <c r="M148" s="57">
        <f t="shared" si="27"/>
        <v>57512.791104999989</v>
      </c>
      <c r="N148" s="57">
        <f t="shared" si="27"/>
        <v>48301.629518000002</v>
      </c>
      <c r="O148" s="57">
        <f t="shared" si="27"/>
        <v>47225.764125309994</v>
      </c>
      <c r="P148" s="57">
        <f t="shared" si="27"/>
        <v>39757.436280874012</v>
      </c>
      <c r="Q148" s="57">
        <f t="shared" si="27"/>
        <v>39299.097859814305</v>
      </c>
    </row>
    <row r="149" spans="2:22" ht="13.5" customHeight="1">
      <c r="B149" s="10" t="s">
        <v>104</v>
      </c>
      <c r="C149" s="56">
        <f t="shared" ref="C149:Q149" si="28">C136-C148</f>
        <v>77288.848304919098</v>
      </c>
      <c r="D149" s="56">
        <f t="shared" si="28"/>
        <v>131240.50352100001</v>
      </c>
      <c r="E149" s="56">
        <f t="shared" si="28"/>
        <v>113414.68309736165</v>
      </c>
      <c r="F149" s="56">
        <f t="shared" si="28"/>
        <v>100676.48875600001</v>
      </c>
      <c r="G149" s="56">
        <f t="shared" si="28"/>
        <v>21995.209348999997</v>
      </c>
      <c r="H149" s="56">
        <f t="shared" si="28"/>
        <v>29404.335156000001</v>
      </c>
      <c r="I149" s="56">
        <f t="shared" si="28"/>
        <v>36894.528790999997</v>
      </c>
      <c r="J149" s="56">
        <f t="shared" si="28"/>
        <v>43173.920674000001</v>
      </c>
      <c r="K149" s="56">
        <f t="shared" si="28"/>
        <v>16835.415747999985</v>
      </c>
      <c r="L149" s="56">
        <f t="shared" si="28"/>
        <v>-4792.8562600000005</v>
      </c>
      <c r="M149" s="56">
        <f t="shared" si="28"/>
        <v>0.20889500001067063</v>
      </c>
      <c r="N149" s="56">
        <f t="shared" si="28"/>
        <v>0.37048199999844655</v>
      </c>
      <c r="O149" s="56">
        <f t="shared" si="28"/>
        <v>0.48539900000469061</v>
      </c>
      <c r="P149" s="56">
        <f t="shared" si="28"/>
        <v>-0.51365287401131354</v>
      </c>
      <c r="Q149" s="56">
        <f t="shared" si="28"/>
        <v>1.1480881856914493</v>
      </c>
    </row>
    <row r="152" spans="2:22" ht="13.5" customHeight="1">
      <c r="B152" s="10" t="s">
        <v>158</v>
      </c>
      <c r="C152" s="51" t="e">
        <f t="shared" ref="C152:M152" si="29">C125</f>
        <v>#REF!</v>
      </c>
      <c r="D152" s="51" t="e">
        <f t="shared" si="29"/>
        <v>#REF!</v>
      </c>
      <c r="E152" s="51" t="e">
        <f t="shared" si="29"/>
        <v>#REF!</v>
      </c>
      <c r="F152" s="51" t="e">
        <f t="shared" si="29"/>
        <v>#REF!</v>
      </c>
      <c r="G152" s="51" t="e">
        <f t="shared" si="29"/>
        <v>#REF!</v>
      </c>
      <c r="H152" s="51" t="e">
        <f t="shared" si="29"/>
        <v>#REF!</v>
      </c>
      <c r="I152" s="51" t="e">
        <f t="shared" si="29"/>
        <v>#REF!</v>
      </c>
      <c r="J152" s="51" t="e">
        <f t="shared" si="29"/>
        <v>#REF!</v>
      </c>
      <c r="K152" s="51" t="e">
        <f t="shared" si="29"/>
        <v>#REF!</v>
      </c>
      <c r="L152" s="51" t="e">
        <f t="shared" si="29"/>
        <v>#REF!</v>
      </c>
      <c r="M152" s="51" t="e">
        <f t="shared" si="29"/>
        <v>#REF!</v>
      </c>
      <c r="N152" s="51" t="e">
        <f>N125</f>
        <v>#REF!</v>
      </c>
      <c r="O152" s="51" t="e">
        <f>O125</f>
        <v>#REF!</v>
      </c>
      <c r="P152" s="51" t="e">
        <f>P125</f>
        <v>#REF!</v>
      </c>
      <c r="Q152" s="51" t="e">
        <f>Q125</f>
        <v>#REF!</v>
      </c>
    </row>
    <row r="153" spans="2:22" ht="13.5" customHeight="1">
      <c r="B153" s="14" t="s">
        <v>164</v>
      </c>
    </row>
    <row r="154" spans="2:22" ht="13.5" customHeight="1">
      <c r="B154" s="10" t="s">
        <v>217</v>
      </c>
      <c r="C154" s="51" t="e">
        <f t="shared" ref="C154:K154" si="30">C139/C$124</f>
        <v>#REF!</v>
      </c>
      <c r="D154" s="51" t="e">
        <f t="shared" si="30"/>
        <v>#REF!</v>
      </c>
      <c r="E154" s="51" t="e">
        <f t="shared" si="30"/>
        <v>#REF!</v>
      </c>
      <c r="F154" s="51" t="e">
        <f t="shared" si="30"/>
        <v>#REF!</v>
      </c>
      <c r="G154" s="51" t="e">
        <f t="shared" si="30"/>
        <v>#REF!</v>
      </c>
      <c r="H154" s="51" t="e">
        <f t="shared" si="30"/>
        <v>#REF!</v>
      </c>
      <c r="I154" s="51" t="e">
        <f t="shared" si="30"/>
        <v>#REF!</v>
      </c>
      <c r="J154" s="51" t="e">
        <f t="shared" si="30"/>
        <v>#REF!</v>
      </c>
      <c r="K154" s="51" t="e">
        <f t="shared" si="30"/>
        <v>#REF!</v>
      </c>
      <c r="L154" s="184" t="e">
        <f>(L139/L$124)*100</f>
        <v>#REF!</v>
      </c>
      <c r="M154" s="184" t="e">
        <f>(M139/M$124)*100</f>
        <v>#REF!</v>
      </c>
      <c r="N154" s="184" t="e">
        <f>(N139/N$124)*100</f>
        <v>#REF!</v>
      </c>
      <c r="O154" s="10">
        <v>2.6</v>
      </c>
      <c r="P154" s="184" t="e">
        <f>(P139/P$124)*100</f>
        <v>#REF!</v>
      </c>
      <c r="Q154" s="184" t="e">
        <f t="shared" ref="Q154:Q161" si="31">(Q139/Q$124)*100</f>
        <v>#REF!</v>
      </c>
    </row>
    <row r="155" spans="2:22" ht="13.5" customHeight="1">
      <c r="B155" s="10" t="s">
        <v>295</v>
      </c>
      <c r="C155" s="51"/>
      <c r="D155" s="51"/>
      <c r="E155" s="51"/>
      <c r="F155" s="51"/>
      <c r="G155" s="51"/>
      <c r="H155" s="51"/>
      <c r="I155" s="51"/>
      <c r="J155" s="51"/>
      <c r="K155" s="51"/>
      <c r="L155" s="184"/>
      <c r="M155" s="184"/>
      <c r="N155" s="184"/>
      <c r="P155" s="184" t="e">
        <f>(P140/P$124)*100</f>
        <v>#REF!</v>
      </c>
      <c r="Q155" s="184" t="e">
        <f t="shared" si="31"/>
        <v>#REF!</v>
      </c>
    </row>
    <row r="156" spans="2:22" ht="13.5" customHeight="1">
      <c r="B156" s="10" t="s">
        <v>218</v>
      </c>
      <c r="C156" s="51" t="e">
        <f>D140/C$124</f>
        <v>#REF!</v>
      </c>
      <c r="D156" s="51" t="e">
        <f t="shared" ref="D156:K156" si="32">D141/D$124</f>
        <v>#REF!</v>
      </c>
      <c r="E156" s="51" t="e">
        <f t="shared" si="32"/>
        <v>#REF!</v>
      </c>
      <c r="F156" s="51" t="e">
        <f t="shared" si="32"/>
        <v>#REF!</v>
      </c>
      <c r="G156" s="51" t="e">
        <f t="shared" si="32"/>
        <v>#REF!</v>
      </c>
      <c r="H156" s="51" t="e">
        <f t="shared" si="32"/>
        <v>#REF!</v>
      </c>
      <c r="I156" s="51" t="e">
        <f t="shared" si="32"/>
        <v>#REF!</v>
      </c>
      <c r="J156" s="51" t="e">
        <f t="shared" si="32"/>
        <v>#REF!</v>
      </c>
      <c r="K156" s="51" t="e">
        <f t="shared" si="32"/>
        <v>#REF!</v>
      </c>
      <c r="L156" s="184" t="e">
        <f>(L141/L$124)*100</f>
        <v>#REF!</v>
      </c>
      <c r="M156" s="184" t="e">
        <f>(M141/M$124)*100</f>
        <v>#REF!</v>
      </c>
      <c r="N156" s="184" t="e">
        <f>(N141/N$124)*100</f>
        <v>#REF!</v>
      </c>
      <c r="O156" s="10">
        <v>2.5</v>
      </c>
      <c r="P156" s="184" t="e">
        <f>(P141/P$124)*100</f>
        <v>#REF!</v>
      </c>
      <c r="Q156" s="184" t="e">
        <f t="shared" si="31"/>
        <v>#REF!</v>
      </c>
    </row>
    <row r="157" spans="2:22" ht="13.5" customHeight="1">
      <c r="B157" s="10" t="s">
        <v>226</v>
      </c>
      <c r="C157" s="51"/>
      <c r="D157" s="51"/>
      <c r="E157" s="51"/>
      <c r="F157" s="51"/>
      <c r="G157" s="51"/>
      <c r="H157" s="51"/>
      <c r="I157" s="51"/>
      <c r="J157" s="51"/>
      <c r="K157" s="51"/>
      <c r="L157" s="184" t="e">
        <f>((L142/L$124)*100)</f>
        <v>#REF!</v>
      </c>
      <c r="M157" s="184" t="e">
        <f>((M142/M$124)*100)-0.1</f>
        <v>#REF!</v>
      </c>
      <c r="N157" s="184" t="e">
        <f>((N142/N$124)*100)</f>
        <v>#REF!</v>
      </c>
      <c r="O157" s="10">
        <v>0.5</v>
      </c>
      <c r="P157" s="184" t="e">
        <f>((P142/P$124)*100)</f>
        <v>#REF!</v>
      </c>
      <c r="Q157" s="184" t="e">
        <f t="shared" si="31"/>
        <v>#REF!</v>
      </c>
    </row>
    <row r="158" spans="2:22" ht="13.5" customHeight="1">
      <c r="B158" s="10" t="s">
        <v>266</v>
      </c>
      <c r="C158" s="51"/>
      <c r="D158" s="51"/>
      <c r="E158" s="51"/>
      <c r="F158" s="51"/>
      <c r="G158" s="51"/>
      <c r="H158" s="51"/>
      <c r="I158" s="51"/>
      <c r="J158" s="51"/>
      <c r="K158" s="51"/>
      <c r="L158" s="184"/>
      <c r="M158" s="184"/>
      <c r="N158" s="184"/>
      <c r="O158" s="10">
        <v>0.2</v>
      </c>
      <c r="P158" s="184" t="e">
        <f>((P143/P$124)*100)</f>
        <v>#REF!</v>
      </c>
      <c r="Q158" s="184" t="e">
        <f t="shared" si="31"/>
        <v>#REF!</v>
      </c>
    </row>
    <row r="159" spans="2:22" ht="13.5" customHeight="1">
      <c r="B159" s="10" t="s">
        <v>228</v>
      </c>
      <c r="C159" s="51" t="e">
        <f t="shared" ref="C159:K159" si="33">C143/C$124</f>
        <v>#REF!</v>
      </c>
      <c r="D159" s="51" t="e">
        <f t="shared" si="33"/>
        <v>#REF!</v>
      </c>
      <c r="E159" s="51" t="e">
        <f t="shared" si="33"/>
        <v>#REF!</v>
      </c>
      <c r="F159" s="51" t="e">
        <f t="shared" si="33"/>
        <v>#REF!</v>
      </c>
      <c r="G159" s="51" t="e">
        <f t="shared" si="33"/>
        <v>#REF!</v>
      </c>
      <c r="H159" s="51" t="e">
        <f t="shared" si="33"/>
        <v>#REF!</v>
      </c>
      <c r="I159" s="51" t="e">
        <f t="shared" si="33"/>
        <v>#REF!</v>
      </c>
      <c r="J159" s="51" t="e">
        <f t="shared" si="33"/>
        <v>#REF!</v>
      </c>
      <c r="K159" s="51" t="e">
        <f t="shared" si="33"/>
        <v>#REF!</v>
      </c>
      <c r="L159" s="184" t="e">
        <f t="shared" ref="L159:M161" si="34">(L143/L$124)*100</f>
        <v>#REF!</v>
      </c>
      <c r="M159" s="184" t="e">
        <f t="shared" si="34"/>
        <v>#REF!</v>
      </c>
      <c r="N159" s="184" t="e">
        <f>(N143/N$124)*100</f>
        <v>#REF!</v>
      </c>
      <c r="O159" s="10">
        <v>1.3</v>
      </c>
      <c r="P159" s="184" t="e">
        <f>(P144/P$124)*100</f>
        <v>#REF!</v>
      </c>
      <c r="Q159" s="184" t="e">
        <f t="shared" si="31"/>
        <v>#REF!</v>
      </c>
    </row>
    <row r="160" spans="2:22" ht="13.5" customHeight="1">
      <c r="B160" s="10" t="s">
        <v>227</v>
      </c>
      <c r="C160" s="51" t="e">
        <f t="shared" ref="C160:K160" si="35">C144/C$124</f>
        <v>#REF!</v>
      </c>
      <c r="D160" s="51" t="e">
        <f t="shared" si="35"/>
        <v>#REF!</v>
      </c>
      <c r="E160" s="51" t="e">
        <f t="shared" si="35"/>
        <v>#REF!</v>
      </c>
      <c r="F160" s="51" t="e">
        <f t="shared" si="35"/>
        <v>#REF!</v>
      </c>
      <c r="G160" s="51" t="e">
        <f t="shared" si="35"/>
        <v>#REF!</v>
      </c>
      <c r="H160" s="51" t="e">
        <f t="shared" si="35"/>
        <v>#REF!</v>
      </c>
      <c r="I160" s="51" t="e">
        <f t="shared" si="35"/>
        <v>#REF!</v>
      </c>
      <c r="J160" s="51" t="e">
        <f t="shared" si="35"/>
        <v>#REF!</v>
      </c>
      <c r="K160" s="51" t="e">
        <f t="shared" si="35"/>
        <v>#REF!</v>
      </c>
      <c r="L160" s="184" t="e">
        <f t="shared" si="34"/>
        <v>#REF!</v>
      </c>
      <c r="M160" s="184" t="e">
        <f t="shared" si="34"/>
        <v>#REF!</v>
      </c>
      <c r="N160" s="184" t="e">
        <f>(N144/N$124)*100</f>
        <v>#REF!</v>
      </c>
      <c r="O160" s="10">
        <v>0.1</v>
      </c>
      <c r="P160" s="184" t="e">
        <f>(P145/P$124)*100</f>
        <v>#REF!</v>
      </c>
      <c r="Q160" s="184" t="e">
        <f t="shared" si="31"/>
        <v>#REF!</v>
      </c>
    </row>
    <row r="161" spans="1:19" ht="13.5" customHeight="1">
      <c r="B161" s="10" t="s">
        <v>229</v>
      </c>
      <c r="C161" s="51" t="e">
        <f t="shared" ref="C161:K161" si="36">C145/C$124</f>
        <v>#REF!</v>
      </c>
      <c r="D161" s="51" t="e">
        <f t="shared" si="36"/>
        <v>#REF!</v>
      </c>
      <c r="E161" s="51" t="e">
        <f t="shared" si="36"/>
        <v>#REF!</v>
      </c>
      <c r="F161" s="51" t="e">
        <f t="shared" si="36"/>
        <v>#REF!</v>
      </c>
      <c r="G161" s="51" t="e">
        <f t="shared" si="36"/>
        <v>#REF!</v>
      </c>
      <c r="H161" s="51" t="e">
        <f t="shared" si="36"/>
        <v>#REF!</v>
      </c>
      <c r="I161" s="51" t="e">
        <f t="shared" si="36"/>
        <v>#REF!</v>
      </c>
      <c r="J161" s="51" t="e">
        <f t="shared" si="36"/>
        <v>#REF!</v>
      </c>
      <c r="K161" s="51" t="e">
        <f t="shared" si="36"/>
        <v>#REF!</v>
      </c>
      <c r="L161" s="184" t="e">
        <f t="shared" si="34"/>
        <v>#REF!</v>
      </c>
      <c r="M161" s="184" t="e">
        <f t="shared" si="34"/>
        <v>#REF!</v>
      </c>
      <c r="N161" s="184" t="e">
        <f>(N145/N$124)*100</f>
        <v>#REF!</v>
      </c>
      <c r="O161" s="54">
        <v>0</v>
      </c>
      <c r="P161" s="184" t="e">
        <f>(P146/P$124)*100</f>
        <v>#REF!</v>
      </c>
      <c r="Q161" s="184" t="e">
        <f t="shared" si="31"/>
        <v>#REF!</v>
      </c>
    </row>
    <row r="162" spans="1:19" ht="13.5" customHeight="1">
      <c r="B162" s="10" t="s">
        <v>223</v>
      </c>
      <c r="C162" s="51"/>
      <c r="D162" s="51"/>
      <c r="E162" s="51"/>
      <c r="F162" s="51"/>
      <c r="G162" s="51"/>
      <c r="H162" s="51"/>
      <c r="I162" s="51"/>
      <c r="J162" s="51"/>
      <c r="K162" s="51"/>
      <c r="L162" s="184"/>
      <c r="M162" s="184"/>
      <c r="N162" s="184"/>
      <c r="P162" s="184"/>
    </row>
    <row r="163" spans="1:19" ht="13.5" customHeight="1">
      <c r="B163" s="10" t="s">
        <v>221</v>
      </c>
      <c r="C163" s="51" t="e">
        <f t="shared" ref="C163:K163" si="37">C146/C$124</f>
        <v>#REF!</v>
      </c>
      <c r="D163" s="51" t="e">
        <f t="shared" si="37"/>
        <v>#REF!</v>
      </c>
      <c r="E163" s="51" t="e">
        <f t="shared" si="37"/>
        <v>#REF!</v>
      </c>
      <c r="F163" s="51" t="e">
        <f t="shared" si="37"/>
        <v>#REF!</v>
      </c>
      <c r="G163" s="51" t="e">
        <f t="shared" si="37"/>
        <v>#REF!</v>
      </c>
      <c r="H163" s="51" t="e">
        <f t="shared" si="37"/>
        <v>#REF!</v>
      </c>
      <c r="I163" s="51" t="e">
        <f t="shared" si="37"/>
        <v>#REF!</v>
      </c>
      <c r="J163" s="51" t="e">
        <f t="shared" si="37"/>
        <v>#REF!</v>
      </c>
      <c r="K163" s="51" t="e">
        <f t="shared" si="37"/>
        <v>#REF!</v>
      </c>
      <c r="L163" s="184" t="e">
        <f>(L147/L$124)*100</f>
        <v>#REF!</v>
      </c>
      <c r="M163" s="184" t="e">
        <f>(M147/M$124)*100</f>
        <v>#REF!</v>
      </c>
      <c r="N163" s="184" t="e">
        <f>(N147/N$124)*100</f>
        <v>#REF!</v>
      </c>
      <c r="O163" s="54">
        <v>1</v>
      </c>
      <c r="P163" s="184" t="e">
        <f>(P147/P$124)*100</f>
        <v>#REF!</v>
      </c>
      <c r="Q163" s="184" t="e">
        <f>(Q147/Q$124)*100</f>
        <v>#REF!</v>
      </c>
    </row>
    <row r="164" spans="1:19" ht="13.5" customHeight="1">
      <c r="C164" s="51"/>
      <c r="D164" s="51"/>
      <c r="E164" s="51"/>
      <c r="F164" s="51"/>
      <c r="G164" s="51"/>
      <c r="H164" s="51"/>
      <c r="I164" s="51"/>
      <c r="J164" s="51"/>
      <c r="K164" s="51"/>
      <c r="L164" s="184"/>
      <c r="M164" s="184"/>
    </row>
    <row r="165" spans="1:19" ht="13.5" customHeight="1">
      <c r="B165" s="14" t="s">
        <v>26</v>
      </c>
      <c r="C165" s="89" t="e">
        <f>SUM(C154:C163)</f>
        <v>#REF!</v>
      </c>
      <c r="D165" s="89" t="e">
        <f t="shared" ref="D165:K165" si="38">SUM(D154:D163)</f>
        <v>#REF!</v>
      </c>
      <c r="E165" s="89" t="e">
        <f t="shared" si="38"/>
        <v>#REF!</v>
      </c>
      <c r="F165" s="89" t="e">
        <f t="shared" si="38"/>
        <v>#REF!</v>
      </c>
      <c r="G165" s="89" t="e">
        <f t="shared" si="38"/>
        <v>#REF!</v>
      </c>
      <c r="H165" s="89" t="e">
        <f t="shared" si="38"/>
        <v>#REF!</v>
      </c>
      <c r="I165" s="89" t="e">
        <f t="shared" si="38"/>
        <v>#REF!</v>
      </c>
      <c r="J165" s="89" t="e">
        <f t="shared" si="38"/>
        <v>#REF!</v>
      </c>
      <c r="K165" s="89" t="e">
        <f t="shared" si="38"/>
        <v>#REF!</v>
      </c>
      <c r="L165" s="185" t="e">
        <f t="shared" ref="L165:Q165" si="39">SUM(L154:L164)</f>
        <v>#REF!</v>
      </c>
      <c r="M165" s="185" t="e">
        <f t="shared" si="39"/>
        <v>#REF!</v>
      </c>
      <c r="N165" s="185" t="e">
        <f t="shared" si="39"/>
        <v>#REF!</v>
      </c>
      <c r="O165" s="185">
        <f t="shared" si="39"/>
        <v>8.1999999999999993</v>
      </c>
      <c r="P165" s="185" t="e">
        <f t="shared" si="39"/>
        <v>#REF!</v>
      </c>
      <c r="Q165" s="185" t="e">
        <f t="shared" si="39"/>
        <v>#REF!</v>
      </c>
    </row>
    <row r="166" spans="1:19" ht="13.5" customHeight="1">
      <c r="B166" s="10" t="s">
        <v>167</v>
      </c>
      <c r="C166" s="51" t="e">
        <f>C152-C165</f>
        <v>#REF!</v>
      </c>
      <c r="D166" s="51" t="e">
        <f t="shared" ref="D166:K166" si="40">D152-D165</f>
        <v>#REF!</v>
      </c>
      <c r="E166" s="51" t="e">
        <f t="shared" si="40"/>
        <v>#REF!</v>
      </c>
      <c r="F166" s="51" t="e">
        <f t="shared" si="40"/>
        <v>#REF!</v>
      </c>
      <c r="G166" s="51" t="e">
        <f t="shared" si="40"/>
        <v>#REF!</v>
      </c>
      <c r="H166" s="51" t="e">
        <f t="shared" si="40"/>
        <v>#REF!</v>
      </c>
      <c r="I166" s="51" t="e">
        <f t="shared" si="40"/>
        <v>#REF!</v>
      </c>
      <c r="J166" s="51" t="e">
        <f t="shared" si="40"/>
        <v>#REF!</v>
      </c>
      <c r="K166" s="51" t="e">
        <f t="shared" si="40"/>
        <v>#REF!</v>
      </c>
      <c r="L166" s="51" t="e">
        <f t="shared" ref="L166:Q166" si="41">L152-L165/100</f>
        <v>#REF!</v>
      </c>
      <c r="M166" s="51" t="e">
        <f t="shared" si="41"/>
        <v>#REF!</v>
      </c>
      <c r="N166" s="51" t="e">
        <f t="shared" si="41"/>
        <v>#REF!</v>
      </c>
      <c r="O166" s="51" t="e">
        <f t="shared" si="41"/>
        <v>#REF!</v>
      </c>
      <c r="P166" s="51" t="e">
        <f t="shared" si="41"/>
        <v>#REF!</v>
      </c>
      <c r="Q166" s="51" t="e">
        <f t="shared" si="41"/>
        <v>#REF!</v>
      </c>
    </row>
    <row r="168" spans="1:19" ht="13.5" customHeight="1">
      <c r="C168" s="14">
        <v>2009</v>
      </c>
      <c r="D168" s="50">
        <v>2010</v>
      </c>
      <c r="E168" s="50" t="s">
        <v>112</v>
      </c>
      <c r="F168" s="50" t="s">
        <v>113</v>
      </c>
      <c r="G168" s="50" t="s">
        <v>114</v>
      </c>
      <c r="H168" s="50">
        <v>2011</v>
      </c>
      <c r="I168" s="61" t="s">
        <v>112</v>
      </c>
      <c r="J168" s="50" t="s">
        <v>113</v>
      </c>
      <c r="K168" s="50" t="s">
        <v>114</v>
      </c>
      <c r="L168" s="50">
        <v>2012</v>
      </c>
      <c r="M168" s="50" t="s">
        <v>112</v>
      </c>
      <c r="N168" s="61" t="s">
        <v>113</v>
      </c>
      <c r="O168" s="50" t="s">
        <v>114</v>
      </c>
      <c r="P168" s="50" t="s">
        <v>115</v>
      </c>
      <c r="Q168" s="50" t="s">
        <v>112</v>
      </c>
      <c r="R168" s="50" t="s">
        <v>113</v>
      </c>
    </row>
    <row r="169" spans="1:19" ht="13.5" customHeight="1">
      <c r="B169" s="10" t="s">
        <v>225</v>
      </c>
      <c r="C169" s="184"/>
      <c r="D169" s="186" t="e">
        <f t="shared" ref="D169:M169" si="42">D132*100</f>
        <v>#REF!</v>
      </c>
      <c r="E169" s="186" t="e">
        <f t="shared" si="42"/>
        <v>#REF!</v>
      </c>
      <c r="F169" s="186" t="e">
        <f t="shared" si="42"/>
        <v>#REF!</v>
      </c>
      <c r="G169" s="186" t="e">
        <f t="shared" si="42"/>
        <v>#REF!</v>
      </c>
      <c r="H169" s="186" t="e">
        <f t="shared" si="42"/>
        <v>#REF!</v>
      </c>
      <c r="I169" s="186" t="e">
        <f t="shared" si="42"/>
        <v>#REF!</v>
      </c>
      <c r="J169" s="186" t="e">
        <f t="shared" si="42"/>
        <v>#REF!</v>
      </c>
      <c r="K169" s="186" t="e">
        <f t="shared" si="42"/>
        <v>#REF!</v>
      </c>
      <c r="L169" s="186" t="e">
        <f t="shared" si="42"/>
        <v>#REF!</v>
      </c>
      <c r="M169" s="186" t="e">
        <f t="shared" si="42"/>
        <v>#REF!</v>
      </c>
      <c r="N169" s="186" t="e">
        <f>(N132*100)</f>
        <v>#REF!</v>
      </c>
      <c r="O169" s="186" t="e">
        <f>(O132*100)</f>
        <v>#REF!</v>
      </c>
      <c r="P169" s="186" t="e">
        <f>(P132*100)</f>
        <v>#REF!</v>
      </c>
      <c r="Q169" s="186" t="e">
        <f>(Q132*100)</f>
        <v>#REF!</v>
      </c>
    </row>
    <row r="170" spans="1:19" ht="13.5" customHeight="1">
      <c r="B170" s="10" t="s">
        <v>250</v>
      </c>
      <c r="D170" s="184" t="e">
        <f>D171-D169</f>
        <v>#REF!</v>
      </c>
      <c r="E170" s="184" t="e">
        <f t="shared" ref="E170:M170" si="43">E171-E169</f>
        <v>#REF!</v>
      </c>
      <c r="F170" s="184" t="e">
        <f t="shared" si="43"/>
        <v>#REF!</v>
      </c>
      <c r="G170" s="184" t="e">
        <f t="shared" si="43"/>
        <v>#REF!</v>
      </c>
      <c r="H170" s="184" t="e">
        <f t="shared" si="43"/>
        <v>#REF!</v>
      </c>
      <c r="I170" s="184" t="e">
        <f t="shared" si="43"/>
        <v>#REF!</v>
      </c>
      <c r="J170" s="184" t="e">
        <f t="shared" si="43"/>
        <v>#REF!</v>
      </c>
      <c r="K170" s="184" t="e">
        <f t="shared" si="43"/>
        <v>#REF!</v>
      </c>
      <c r="L170" s="184" t="e">
        <f t="shared" si="43"/>
        <v>#REF!</v>
      </c>
      <c r="M170" s="184" t="e">
        <f t="shared" si="43"/>
        <v>#REF!</v>
      </c>
      <c r="N170" s="184" t="e">
        <f>(N171-N169)-0.005</f>
        <v>#REF!</v>
      </c>
      <c r="O170" s="184" t="e">
        <f>(O171-O169)</f>
        <v>#REF!</v>
      </c>
      <c r="P170" s="184" t="e">
        <f>(P171-P169)</f>
        <v>#REF!</v>
      </c>
      <c r="Q170" s="184" t="e">
        <f>(Q171-Q169)</f>
        <v>#REF!</v>
      </c>
    </row>
    <row r="171" spans="1:19" ht="13.5" customHeight="1">
      <c r="B171" s="10" t="s">
        <v>158</v>
      </c>
      <c r="C171" s="184" t="e">
        <f t="shared" ref="C171:O171" si="44">C125*100</f>
        <v>#REF!</v>
      </c>
      <c r="D171" s="184" t="e">
        <f t="shared" si="44"/>
        <v>#REF!</v>
      </c>
      <c r="E171" s="184" t="e">
        <f t="shared" si="44"/>
        <v>#REF!</v>
      </c>
      <c r="F171" s="184" t="e">
        <f t="shared" si="44"/>
        <v>#REF!</v>
      </c>
      <c r="G171" s="184" t="e">
        <f t="shared" si="44"/>
        <v>#REF!</v>
      </c>
      <c r="H171" s="184" t="e">
        <f t="shared" si="44"/>
        <v>#REF!</v>
      </c>
      <c r="I171" s="184" t="e">
        <f t="shared" si="44"/>
        <v>#REF!</v>
      </c>
      <c r="J171" s="184" t="e">
        <f t="shared" si="44"/>
        <v>#REF!</v>
      </c>
      <c r="K171" s="184" t="e">
        <f t="shared" si="44"/>
        <v>#REF!</v>
      </c>
      <c r="L171" s="184" t="e">
        <f t="shared" si="44"/>
        <v>#REF!</v>
      </c>
      <c r="M171" s="184" t="e">
        <f t="shared" si="44"/>
        <v>#REF!</v>
      </c>
      <c r="N171" s="184" t="e">
        <f t="shared" si="44"/>
        <v>#REF!</v>
      </c>
      <c r="O171" s="184" t="e">
        <f t="shared" si="44"/>
        <v>#REF!</v>
      </c>
      <c r="P171" s="184" t="e">
        <f>P125*100</f>
        <v>#REF!</v>
      </c>
      <c r="Q171" s="184" t="e">
        <f>Q125*100</f>
        <v>#REF!</v>
      </c>
    </row>
    <row r="172" spans="1:19" ht="13.5" customHeight="1">
      <c r="C172" s="184"/>
      <c r="D172" s="184"/>
      <c r="E172" s="184"/>
    </row>
    <row r="173" spans="1:19" ht="13.5" customHeight="1">
      <c r="C173" s="184"/>
      <c r="D173" s="184"/>
      <c r="E173" s="184"/>
      <c r="F173" s="50" t="s">
        <v>285</v>
      </c>
      <c r="G173" s="50" t="s">
        <v>286</v>
      </c>
      <c r="H173" s="50" t="s">
        <v>287</v>
      </c>
      <c r="I173" s="50" t="s">
        <v>288</v>
      </c>
      <c r="J173" s="50" t="s">
        <v>289</v>
      </c>
      <c r="K173" s="50" t="s">
        <v>284</v>
      </c>
      <c r="N173" s="14">
        <v>2010</v>
      </c>
      <c r="O173" s="14">
        <v>2011</v>
      </c>
      <c r="P173" s="14">
        <v>2012</v>
      </c>
      <c r="Q173" s="14">
        <v>2013</v>
      </c>
      <c r="R173" s="50" t="s">
        <v>289</v>
      </c>
      <c r="S173" s="50" t="s">
        <v>284</v>
      </c>
    </row>
    <row r="174" spans="1:19" ht="13.5" customHeight="1">
      <c r="C174" s="50">
        <v>2010</v>
      </c>
      <c r="D174" s="50">
        <f>H168</f>
        <v>2011</v>
      </c>
      <c r="E174" s="50">
        <f>L168</f>
        <v>2012</v>
      </c>
      <c r="F174" s="50" t="s">
        <v>232</v>
      </c>
      <c r="G174" s="50" t="s">
        <v>236</v>
      </c>
      <c r="H174" s="50" t="s">
        <v>263</v>
      </c>
      <c r="I174" s="50" t="s">
        <v>290</v>
      </c>
      <c r="J174" s="50" t="s">
        <v>291</v>
      </c>
      <c r="K174" s="50" t="s">
        <v>292</v>
      </c>
      <c r="N174" s="14">
        <v>2010</v>
      </c>
      <c r="O174" s="14">
        <v>2011</v>
      </c>
      <c r="P174" s="14">
        <v>2012</v>
      </c>
      <c r="Q174" s="14">
        <v>2013</v>
      </c>
      <c r="R174" s="50" t="s">
        <v>291</v>
      </c>
      <c r="S174" s="50" t="s">
        <v>292</v>
      </c>
    </row>
    <row r="175" spans="1:19" ht="13.5" customHeight="1">
      <c r="A175" s="10" t="s">
        <v>296</v>
      </c>
      <c r="B175" s="10" t="s">
        <v>251</v>
      </c>
      <c r="C175" s="184" t="e">
        <f>D169</f>
        <v>#REF!</v>
      </c>
      <c r="D175" s="184" t="e">
        <f>H169</f>
        <v>#REF!</v>
      </c>
      <c r="E175" s="184" t="e">
        <f>L169</f>
        <v>#REF!</v>
      </c>
      <c r="F175" s="184" t="e">
        <f t="shared" ref="F175:G177" si="45">M169</f>
        <v>#REF!</v>
      </c>
      <c r="G175" s="184" t="e">
        <f t="shared" si="45"/>
        <v>#REF!</v>
      </c>
      <c r="H175" s="184">
        <f>SUM(O154:O158)</f>
        <v>5.8</v>
      </c>
      <c r="I175" s="184" t="e">
        <f>SUM(P154:P158)</f>
        <v>#REF!</v>
      </c>
      <c r="J175" s="184" t="e">
        <f>SUM(Q154:Q158)</f>
        <v>#REF!</v>
      </c>
      <c r="K175" s="184">
        <f>SUM(R154:R158)</f>
        <v>0</v>
      </c>
      <c r="N175" s="184" t="e">
        <f t="shared" ref="N175:P177" si="46">+C175</f>
        <v>#REF!</v>
      </c>
      <c r="O175" s="184" t="e">
        <f t="shared" si="46"/>
        <v>#REF!</v>
      </c>
      <c r="P175" s="184" t="e">
        <f t="shared" si="46"/>
        <v>#REF!</v>
      </c>
      <c r="Q175" s="184" t="e">
        <f t="shared" ref="Q175:S177" si="47">+I175</f>
        <v>#REF!</v>
      </c>
      <c r="R175" s="184" t="e">
        <f t="shared" si="47"/>
        <v>#REF!</v>
      </c>
      <c r="S175" s="10">
        <f t="shared" si="47"/>
        <v>0</v>
      </c>
    </row>
    <row r="176" spans="1:19" ht="13.5" customHeight="1">
      <c r="A176" s="10" t="s">
        <v>297</v>
      </c>
      <c r="B176" s="10" t="s">
        <v>250</v>
      </c>
      <c r="C176" s="184" t="e">
        <f>D170</f>
        <v>#REF!</v>
      </c>
      <c r="D176" s="184" t="e">
        <f>H170</f>
        <v>#REF!</v>
      </c>
      <c r="E176" s="184" t="e">
        <f>L170</f>
        <v>#REF!</v>
      </c>
      <c r="F176" s="184" t="e">
        <f t="shared" si="45"/>
        <v>#REF!</v>
      </c>
      <c r="G176" s="184" t="e">
        <f t="shared" si="45"/>
        <v>#REF!</v>
      </c>
      <c r="H176" s="184">
        <f>SUM(O159:O163)</f>
        <v>2.4000000000000004</v>
      </c>
      <c r="I176" s="184" t="e">
        <f>SUM(P159:P163)</f>
        <v>#REF!</v>
      </c>
      <c r="J176" s="184" t="e">
        <f>SUM(Q159:Q163)</f>
        <v>#REF!</v>
      </c>
      <c r="K176" s="184">
        <f>SUM(R159:R163)</f>
        <v>0</v>
      </c>
      <c r="N176" s="184" t="e">
        <f t="shared" si="46"/>
        <v>#REF!</v>
      </c>
      <c r="O176" s="184" t="e">
        <f t="shared" si="46"/>
        <v>#REF!</v>
      </c>
      <c r="P176" s="184" t="e">
        <f t="shared" si="46"/>
        <v>#REF!</v>
      </c>
      <c r="Q176" s="184" t="e">
        <f t="shared" si="47"/>
        <v>#REF!</v>
      </c>
      <c r="R176" s="184" t="e">
        <f t="shared" si="47"/>
        <v>#REF!</v>
      </c>
      <c r="S176" s="10">
        <f t="shared" si="47"/>
        <v>0</v>
      </c>
    </row>
    <row r="177" spans="2:19" ht="13.5" customHeight="1">
      <c r="B177" s="10" t="s">
        <v>158</v>
      </c>
      <c r="C177" s="184" t="e">
        <f>D171</f>
        <v>#REF!</v>
      </c>
      <c r="D177" s="184" t="e">
        <f>H171</f>
        <v>#REF!</v>
      </c>
      <c r="E177" s="184" t="e">
        <f>L171</f>
        <v>#REF!</v>
      </c>
      <c r="F177" s="184" t="e">
        <f t="shared" si="45"/>
        <v>#REF!</v>
      </c>
      <c r="G177" s="184" t="e">
        <f t="shared" si="45"/>
        <v>#REF!</v>
      </c>
      <c r="H177" s="184">
        <f>SUM(H175:H176)</f>
        <v>8.1999999999999993</v>
      </c>
      <c r="I177" s="184" t="e">
        <f>SUM(I175:I176)</f>
        <v>#REF!</v>
      </c>
      <c r="J177" s="184" t="e">
        <f>SUM(J175:J176)</f>
        <v>#REF!</v>
      </c>
      <c r="K177" s="184">
        <f>SUM(K175:K176)</f>
        <v>0</v>
      </c>
      <c r="N177" s="184" t="e">
        <f t="shared" si="46"/>
        <v>#REF!</v>
      </c>
      <c r="O177" s="184" t="e">
        <f t="shared" si="46"/>
        <v>#REF!</v>
      </c>
      <c r="P177" s="184" t="e">
        <f t="shared" si="46"/>
        <v>#REF!</v>
      </c>
      <c r="Q177" s="54" t="e">
        <f t="shared" si="47"/>
        <v>#REF!</v>
      </c>
      <c r="R177" s="184" t="e">
        <f t="shared" si="47"/>
        <v>#REF!</v>
      </c>
      <c r="S177" s="10">
        <f t="shared" si="47"/>
        <v>0</v>
      </c>
    </row>
    <row r="194" spans="2:19" ht="13.5" customHeight="1">
      <c r="C194" s="354" t="s">
        <v>158</v>
      </c>
      <c r="D194" s="354"/>
      <c r="E194" s="354"/>
      <c r="F194" s="354"/>
      <c r="G194" s="354"/>
      <c r="H194" s="351" t="s">
        <v>183</v>
      </c>
      <c r="I194" s="351"/>
      <c r="J194" s="351"/>
      <c r="K194" s="351"/>
      <c r="M194" s="354" t="s">
        <v>197</v>
      </c>
      <c r="N194" s="354"/>
    </row>
    <row r="195" spans="2:19" ht="12.75" customHeight="1">
      <c r="B195" s="119"/>
      <c r="C195" s="349" t="s">
        <v>147</v>
      </c>
      <c r="D195" s="350"/>
      <c r="E195" s="349" t="s">
        <v>215</v>
      </c>
      <c r="F195" s="350"/>
      <c r="G195" s="122" t="s">
        <v>175</v>
      </c>
      <c r="H195" s="123" t="s">
        <v>177</v>
      </c>
      <c r="I195" s="128" t="s">
        <v>178</v>
      </c>
      <c r="J195" s="136" t="s">
        <v>189</v>
      </c>
      <c r="K195" s="137" t="s">
        <v>191</v>
      </c>
      <c r="L195" s="137" t="s">
        <v>193</v>
      </c>
      <c r="M195" s="138" t="s">
        <v>13</v>
      </c>
      <c r="N195" s="119"/>
      <c r="O195" s="119"/>
      <c r="P195" s="128" t="s">
        <v>184</v>
      </c>
      <c r="Q195" s="128" t="s">
        <v>198</v>
      </c>
    </row>
    <row r="196" spans="2:19" ht="12.75" customHeight="1">
      <c r="B196" s="120" t="s">
        <v>27</v>
      </c>
      <c r="C196" s="126" t="s">
        <v>210</v>
      </c>
      <c r="D196" s="127" t="s">
        <v>211</v>
      </c>
      <c r="E196" s="126" t="s">
        <v>210</v>
      </c>
      <c r="F196" s="127" t="s">
        <v>211</v>
      </c>
      <c r="G196" s="126" t="s">
        <v>176</v>
      </c>
      <c r="H196" s="127" t="s">
        <v>179</v>
      </c>
      <c r="I196" s="129" t="s">
        <v>174</v>
      </c>
      <c r="J196" s="126" t="s">
        <v>190</v>
      </c>
      <c r="K196" s="130" t="s">
        <v>192</v>
      </c>
      <c r="L196" s="131" t="s">
        <v>12</v>
      </c>
      <c r="M196" s="127" t="s">
        <v>194</v>
      </c>
      <c r="N196" s="129" t="s">
        <v>26</v>
      </c>
      <c r="O196" s="129" t="s">
        <v>26</v>
      </c>
      <c r="P196" s="129" t="s">
        <v>185</v>
      </c>
      <c r="Q196" s="129" t="s">
        <v>199</v>
      </c>
    </row>
    <row r="197" spans="2:19" ht="12.75" customHeight="1">
      <c r="B197" s="119" t="s">
        <v>28</v>
      </c>
      <c r="C197" s="187">
        <v>23201</v>
      </c>
      <c r="D197" s="188">
        <v>452</v>
      </c>
      <c r="E197" s="189">
        <v>-13977</v>
      </c>
      <c r="F197" s="190">
        <v>-130</v>
      </c>
      <c r="G197" s="187">
        <f>SUM(C197:F197)</f>
        <v>9546</v>
      </c>
      <c r="H197" s="191">
        <v>15449.727809795853</v>
      </c>
      <c r="I197" s="192">
        <f>G197+H197</f>
        <v>24995.727809795855</v>
      </c>
      <c r="J197" s="193">
        <v>24996.589544395662</v>
      </c>
      <c r="K197" s="194">
        <v>0</v>
      </c>
      <c r="L197" s="194">
        <v>0</v>
      </c>
      <c r="M197" s="191">
        <v>0</v>
      </c>
      <c r="N197" s="192">
        <f>SUM(J197:M197)</f>
        <v>24996.589544395662</v>
      </c>
      <c r="O197" s="195">
        <f>MIN(SUM($J197:$M197),$I197)</f>
        <v>24995.727809795855</v>
      </c>
      <c r="P197" s="196">
        <f>O197/I197</f>
        <v>1</v>
      </c>
      <c r="Q197" s="196">
        <f>(I197-O197)/I197</f>
        <v>0</v>
      </c>
      <c r="R197" s="56">
        <f>N197-O197</f>
        <v>0.86173459980636835</v>
      </c>
      <c r="S197" s="56"/>
    </row>
    <row r="198" spans="2:19" ht="12.75" customHeight="1">
      <c r="B198" s="197" t="s">
        <v>181</v>
      </c>
      <c r="C198" s="198">
        <v>3522</v>
      </c>
      <c r="D198" s="190">
        <v>82</v>
      </c>
      <c r="E198" s="199">
        <v>-1825</v>
      </c>
      <c r="F198" s="190">
        <v>-25</v>
      </c>
      <c r="G198" s="198">
        <f>SUM(C198:F198)</f>
        <v>1754</v>
      </c>
      <c r="H198" s="203">
        <v>719.65300416155696</v>
      </c>
      <c r="I198" s="201">
        <f t="shared" ref="I198:I207" si="48">G198+H198</f>
        <v>2473.653004161557</v>
      </c>
      <c r="J198" s="202">
        <v>2278.9596883918998</v>
      </c>
      <c r="K198" s="203">
        <v>0</v>
      </c>
      <c r="L198" s="203">
        <v>20.881592999999999</v>
      </c>
      <c r="M198" s="200">
        <v>60.00139282</v>
      </c>
      <c r="N198" s="201">
        <f t="shared" ref="N198:N207" si="49">SUM(J198:M198)</f>
        <v>2359.8426742119</v>
      </c>
      <c r="O198" s="204">
        <f>MIN(SUM($J198:$M198),$I198)</f>
        <v>2359.8426742119</v>
      </c>
      <c r="P198" s="205">
        <f>O198/I198</f>
        <v>0.95399098832447882</v>
      </c>
      <c r="Q198" s="205">
        <f>(I198-O198)/I198</f>
        <v>4.6009011675521128E-2</v>
      </c>
      <c r="R198" s="56">
        <f t="shared" ref="R198:R207" si="50">N198-O198</f>
        <v>0</v>
      </c>
      <c r="S198" s="56"/>
    </row>
    <row r="199" spans="2:19" ht="12.75" customHeight="1">
      <c r="B199" s="197" t="s">
        <v>171</v>
      </c>
      <c r="C199" s="198">
        <v>2011</v>
      </c>
      <c r="D199" s="190">
        <v>1618</v>
      </c>
      <c r="E199" s="199">
        <v>-700</v>
      </c>
      <c r="F199" s="190">
        <v>-461</v>
      </c>
      <c r="G199" s="198">
        <f t="shared" ref="G199:G206" si="51">SUM(C199:F199)</f>
        <v>2468</v>
      </c>
      <c r="H199" s="203">
        <v>311.07503647415405</v>
      </c>
      <c r="I199" s="201">
        <f t="shared" si="48"/>
        <v>2779.0750364741539</v>
      </c>
      <c r="J199" s="202">
        <v>230.97992288</v>
      </c>
      <c r="K199" s="203">
        <v>2126.4124887523999</v>
      </c>
      <c r="L199" s="203">
        <v>0.10735730239999999</v>
      </c>
      <c r="M199" s="200">
        <v>5.4558210000000003</v>
      </c>
      <c r="N199" s="201">
        <f t="shared" si="49"/>
        <v>2362.9555899347997</v>
      </c>
      <c r="O199" s="204">
        <f t="shared" ref="O199:O207" si="52">MIN(SUM($J199:$M199),$I199)</f>
        <v>2362.9555899347997</v>
      </c>
      <c r="P199" s="205">
        <f t="shared" ref="P199:P207" si="53">O199/I199</f>
        <v>0.85026692655722969</v>
      </c>
      <c r="Q199" s="205">
        <f t="shared" ref="Q199:Q207" si="54">(I199-O199)/I199</f>
        <v>0.14973307344277034</v>
      </c>
      <c r="R199" s="56">
        <f t="shared" si="50"/>
        <v>0</v>
      </c>
      <c r="S199" s="56"/>
    </row>
    <row r="200" spans="2:19" ht="12.75" customHeight="1">
      <c r="B200" s="197" t="s">
        <v>180</v>
      </c>
      <c r="C200" s="198">
        <v>197</v>
      </c>
      <c r="D200" s="190">
        <v>0</v>
      </c>
      <c r="E200" s="199">
        <v>-171</v>
      </c>
      <c r="F200" s="190">
        <v>0</v>
      </c>
      <c r="G200" s="198">
        <f t="shared" si="51"/>
        <v>26</v>
      </c>
      <c r="H200" s="203">
        <v>14.023354232840093</v>
      </c>
      <c r="I200" s="201">
        <f t="shared" si="48"/>
        <v>40.023354232840092</v>
      </c>
      <c r="J200" s="202">
        <v>11.330732529999999</v>
      </c>
      <c r="K200" s="203">
        <v>0</v>
      </c>
      <c r="L200" s="203">
        <v>0</v>
      </c>
      <c r="M200" s="200">
        <v>6.438402</v>
      </c>
      <c r="N200" s="201">
        <f t="shared" si="49"/>
        <v>17.769134529999999</v>
      </c>
      <c r="O200" s="204">
        <f t="shared" si="52"/>
        <v>17.769134529999999</v>
      </c>
      <c r="P200" s="205">
        <f t="shared" si="53"/>
        <v>0.44396914927784864</v>
      </c>
      <c r="Q200" s="205">
        <f t="shared" si="54"/>
        <v>0.5560308507221513</v>
      </c>
      <c r="R200" s="56">
        <f t="shared" si="50"/>
        <v>0</v>
      </c>
      <c r="S200" s="56"/>
    </row>
    <row r="201" spans="2:19" ht="12.75" customHeight="1">
      <c r="B201" s="197" t="s">
        <v>212</v>
      </c>
      <c r="C201" s="198">
        <v>5807</v>
      </c>
      <c r="D201" s="190">
        <v>0</v>
      </c>
      <c r="E201" s="199">
        <v>-2182</v>
      </c>
      <c r="F201" s="190">
        <v>0</v>
      </c>
      <c r="G201" s="198">
        <f t="shared" si="51"/>
        <v>3625</v>
      </c>
      <c r="H201" s="203">
        <v>1158.2633654914091</v>
      </c>
      <c r="I201" s="201">
        <f t="shared" si="48"/>
        <v>4783.2633654914089</v>
      </c>
      <c r="J201" s="202">
        <v>559.53607655760004</v>
      </c>
      <c r="K201" s="203">
        <v>0</v>
      </c>
      <c r="L201" s="203">
        <v>372.9239644347</v>
      </c>
      <c r="M201" s="200">
        <v>315.50204430619999</v>
      </c>
      <c r="N201" s="201">
        <f t="shared" si="49"/>
        <v>1247.9620852984999</v>
      </c>
      <c r="O201" s="204">
        <f t="shared" si="52"/>
        <v>1247.9620852984999</v>
      </c>
      <c r="P201" s="205">
        <f t="shared" si="53"/>
        <v>0.26090181324780354</v>
      </c>
      <c r="Q201" s="205">
        <f t="shared" si="54"/>
        <v>0.73909818675219641</v>
      </c>
      <c r="R201" s="56">
        <f t="shared" si="50"/>
        <v>0</v>
      </c>
      <c r="S201" s="56"/>
    </row>
    <row r="202" spans="2:19" ht="12.75" customHeight="1">
      <c r="B202" s="197" t="s">
        <v>213</v>
      </c>
      <c r="C202" s="198">
        <v>5891</v>
      </c>
      <c r="D202" s="190">
        <v>0</v>
      </c>
      <c r="E202" s="199">
        <v>-4328</v>
      </c>
      <c r="F202" s="190">
        <v>0</v>
      </c>
      <c r="G202" s="198">
        <f t="shared" si="51"/>
        <v>1563</v>
      </c>
      <c r="H202" s="203">
        <v>90.497442335799292</v>
      </c>
      <c r="I202" s="201">
        <f t="shared" si="48"/>
        <v>1653.4974423357994</v>
      </c>
      <c r="J202" s="202">
        <v>33.971345929999998</v>
      </c>
      <c r="K202" s="203">
        <v>0</v>
      </c>
      <c r="L202" s="203">
        <v>70.85092225999999</v>
      </c>
      <c r="M202" s="200">
        <v>317.55113326999998</v>
      </c>
      <c r="N202" s="201">
        <f t="shared" si="49"/>
        <v>422.37340145999997</v>
      </c>
      <c r="O202" s="204">
        <f t="shared" si="52"/>
        <v>422.37340145999997</v>
      </c>
      <c r="P202" s="205">
        <f t="shared" si="53"/>
        <v>0.25544242805924011</v>
      </c>
      <c r="Q202" s="205">
        <f t="shared" si="54"/>
        <v>0.74455757194075989</v>
      </c>
      <c r="R202" s="56">
        <f t="shared" si="50"/>
        <v>0</v>
      </c>
      <c r="S202" s="56"/>
    </row>
    <row r="203" spans="2:19" ht="12.75" customHeight="1">
      <c r="B203" s="197" t="s">
        <v>214</v>
      </c>
      <c r="C203" s="198">
        <v>927</v>
      </c>
      <c r="D203" s="190">
        <v>33</v>
      </c>
      <c r="E203" s="199">
        <v>-502</v>
      </c>
      <c r="F203" s="190">
        <v>-17</v>
      </c>
      <c r="G203" s="198">
        <f t="shared" si="51"/>
        <v>441</v>
      </c>
      <c r="H203" s="203">
        <v>52.681768972801976</v>
      </c>
      <c r="I203" s="201">
        <f t="shared" si="48"/>
        <v>493.68176897280199</v>
      </c>
      <c r="J203" s="202">
        <v>394.63301573000001</v>
      </c>
      <c r="K203" s="203">
        <v>0</v>
      </c>
      <c r="L203" s="203">
        <v>3.7515049999999999</v>
      </c>
      <c r="M203" s="200">
        <v>94.312206971836304</v>
      </c>
      <c r="N203" s="201">
        <f t="shared" si="49"/>
        <v>492.69672770183632</v>
      </c>
      <c r="O203" s="204">
        <f t="shared" si="52"/>
        <v>492.69672770183632</v>
      </c>
      <c r="P203" s="205">
        <f t="shared" si="53"/>
        <v>0.99800470397556862</v>
      </c>
      <c r="Q203" s="205">
        <f t="shared" si="54"/>
        <v>1.9952960244313473E-3</v>
      </c>
      <c r="R203" s="56">
        <f t="shared" si="50"/>
        <v>0</v>
      </c>
      <c r="S203" s="56"/>
    </row>
    <row r="204" spans="2:19" ht="12.75" customHeight="1">
      <c r="B204" s="197" t="s">
        <v>172</v>
      </c>
      <c r="C204" s="198">
        <v>362</v>
      </c>
      <c r="D204" s="190">
        <v>0</v>
      </c>
      <c r="E204" s="199">
        <v>-66</v>
      </c>
      <c r="F204" s="190">
        <v>0</v>
      </c>
      <c r="G204" s="198">
        <f t="shared" si="51"/>
        <v>296</v>
      </c>
      <c r="H204" s="203">
        <v>16.018237730251617</v>
      </c>
      <c r="I204" s="201">
        <f t="shared" si="48"/>
        <v>312.0182377302516</v>
      </c>
      <c r="J204" s="202">
        <v>35.252533739999997</v>
      </c>
      <c r="K204" s="203">
        <v>0</v>
      </c>
      <c r="L204" s="203">
        <v>3.2703120000000001</v>
      </c>
      <c r="M204" s="200">
        <v>31.106198130000003</v>
      </c>
      <c r="N204" s="201">
        <f t="shared" si="49"/>
        <v>69.629043870000004</v>
      </c>
      <c r="O204" s="204">
        <f t="shared" si="52"/>
        <v>69.629043870000004</v>
      </c>
      <c r="P204" s="205">
        <f t="shared" si="53"/>
        <v>0.22315696792761275</v>
      </c>
      <c r="Q204" s="205">
        <f t="shared" si="54"/>
        <v>0.77684303207238725</v>
      </c>
      <c r="R204" s="56">
        <f t="shared" si="50"/>
        <v>0</v>
      </c>
      <c r="S204" s="56"/>
    </row>
    <row r="205" spans="2:19" ht="12.75" customHeight="1">
      <c r="B205" s="197" t="s">
        <v>173</v>
      </c>
      <c r="C205" s="198">
        <v>1895</v>
      </c>
      <c r="D205" s="190">
        <v>21</v>
      </c>
      <c r="E205" s="199">
        <v>-787</v>
      </c>
      <c r="F205" s="190">
        <v>-21</v>
      </c>
      <c r="G205" s="198">
        <f t="shared" si="51"/>
        <v>1108</v>
      </c>
      <c r="H205" s="203">
        <v>47.36221614415264</v>
      </c>
      <c r="I205" s="201">
        <f t="shared" si="48"/>
        <v>1155.3622161441526</v>
      </c>
      <c r="J205" s="202">
        <v>138.44418399</v>
      </c>
      <c r="K205" s="203">
        <v>9.9999999999999995E-7</v>
      </c>
      <c r="L205" s="203">
        <v>0</v>
      </c>
      <c r="M205" s="200">
        <v>9.3457947200000007</v>
      </c>
      <c r="N205" s="201">
        <f t="shared" si="49"/>
        <v>147.78997971000001</v>
      </c>
      <c r="O205" s="204">
        <f t="shared" si="52"/>
        <v>147.78997971000001</v>
      </c>
      <c r="P205" s="205">
        <f t="shared" si="53"/>
        <v>0.12791657684914329</v>
      </c>
      <c r="Q205" s="205">
        <f t="shared" si="54"/>
        <v>0.87208342315085674</v>
      </c>
      <c r="R205" s="56">
        <f t="shared" si="50"/>
        <v>0</v>
      </c>
      <c r="S205" s="56"/>
    </row>
    <row r="206" spans="2:19" ht="12.75" customHeight="1">
      <c r="B206" s="197" t="s">
        <v>202</v>
      </c>
      <c r="C206" s="198">
        <v>35</v>
      </c>
      <c r="D206" s="190">
        <v>0</v>
      </c>
      <c r="E206" s="199">
        <v>-8</v>
      </c>
      <c r="F206" s="190">
        <v>0</v>
      </c>
      <c r="G206" s="198">
        <f t="shared" si="51"/>
        <v>27</v>
      </c>
      <c r="H206" s="203">
        <v>52.690154418597039</v>
      </c>
      <c r="I206" s="201">
        <f t="shared" si="48"/>
        <v>79.690154418597047</v>
      </c>
      <c r="J206" s="202">
        <v>40.523394140000001</v>
      </c>
      <c r="K206" s="203">
        <v>0</v>
      </c>
      <c r="L206" s="203">
        <v>0</v>
      </c>
      <c r="M206" s="200">
        <v>0</v>
      </c>
      <c r="N206" s="201">
        <f t="shared" si="49"/>
        <v>40.523394140000001</v>
      </c>
      <c r="O206" s="204">
        <f t="shared" si="52"/>
        <v>40.523394140000001</v>
      </c>
      <c r="P206" s="205">
        <f t="shared" si="53"/>
        <v>0.50851192892836439</v>
      </c>
      <c r="Q206" s="205">
        <f t="shared" si="54"/>
        <v>0.49148807107163567</v>
      </c>
      <c r="R206" s="56">
        <f t="shared" si="50"/>
        <v>0</v>
      </c>
      <c r="S206" s="56"/>
    </row>
    <row r="207" spans="2:19" ht="12.75" customHeight="1">
      <c r="B207" s="206" t="s">
        <v>182</v>
      </c>
      <c r="C207" s="207">
        <v>847</v>
      </c>
      <c r="D207" s="208">
        <v>0</v>
      </c>
      <c r="E207" s="209">
        <v>-367</v>
      </c>
      <c r="F207" s="208">
        <v>0</v>
      </c>
      <c r="G207" s="207">
        <f>SUM(C207:F207)</f>
        <v>480</v>
      </c>
      <c r="H207" s="203">
        <v>54.253558242580922</v>
      </c>
      <c r="I207" s="211">
        <f t="shared" si="48"/>
        <v>534.25355824258088</v>
      </c>
      <c r="J207" s="212">
        <v>110.13931135</v>
      </c>
      <c r="K207" s="213">
        <v>0</v>
      </c>
      <c r="L207" s="213">
        <v>0</v>
      </c>
      <c r="M207" s="210">
        <v>1.005339</v>
      </c>
      <c r="N207" s="211">
        <f t="shared" si="49"/>
        <v>111.14465035000001</v>
      </c>
      <c r="O207" s="204">
        <f t="shared" si="52"/>
        <v>111.14465035000001</v>
      </c>
      <c r="P207" s="205">
        <f t="shared" si="53"/>
        <v>0.20803726738968042</v>
      </c>
      <c r="Q207" s="205">
        <f t="shared" si="54"/>
        <v>0.79196273261031958</v>
      </c>
      <c r="R207" s="56">
        <f t="shared" si="50"/>
        <v>0</v>
      </c>
      <c r="S207" s="56"/>
    </row>
    <row r="208" spans="2:19" ht="12.75" customHeight="1" thickBot="1">
      <c r="B208" s="121" t="s">
        <v>26</v>
      </c>
      <c r="C208" s="124">
        <f t="shared" ref="C208:I208" si="55">SUM(C197:C207)</f>
        <v>44695</v>
      </c>
      <c r="D208" s="133">
        <f t="shared" si="55"/>
        <v>2206</v>
      </c>
      <c r="E208" s="141">
        <f t="shared" si="55"/>
        <v>-24913</v>
      </c>
      <c r="F208" s="125">
        <f t="shared" si="55"/>
        <v>-654</v>
      </c>
      <c r="G208" s="132">
        <f t="shared" si="55"/>
        <v>21334</v>
      </c>
      <c r="H208" s="133">
        <f t="shared" si="55"/>
        <v>17966.245947999996</v>
      </c>
      <c r="I208" s="134">
        <f t="shared" si="55"/>
        <v>39300.245947999996</v>
      </c>
      <c r="J208" s="132">
        <f t="shared" ref="J208:O208" si="56">SUM(J197:J207)</f>
        <v>28830.359749635165</v>
      </c>
      <c r="K208" s="135">
        <f t="shared" si="56"/>
        <v>2126.4124897523998</v>
      </c>
      <c r="L208" s="135">
        <f t="shared" si="56"/>
        <v>471.78565399709998</v>
      </c>
      <c r="M208" s="133">
        <f t="shared" si="56"/>
        <v>840.71833221803638</v>
      </c>
      <c r="N208" s="134">
        <f t="shared" si="56"/>
        <v>32269.276225602705</v>
      </c>
      <c r="O208" s="134">
        <f t="shared" si="56"/>
        <v>32268.414491002899</v>
      </c>
      <c r="P208" s="214">
        <f>O208/I208</f>
        <v>0.82107411067347402</v>
      </c>
      <c r="Q208" s="215">
        <f>(I208-O208)/I208</f>
        <v>0.17892588932652595</v>
      </c>
    </row>
    <row r="209" spans="1:9" ht="13.5" customHeight="1" thickTop="1">
      <c r="G209" s="56">
        <f>+G208-N121</f>
        <v>-10221</v>
      </c>
      <c r="I209" s="12">
        <f>+I208-M136</f>
        <v>-18212.754052000004</v>
      </c>
    </row>
    <row r="211" spans="1:9" ht="13.5" customHeight="1">
      <c r="C211" s="147" t="s">
        <v>298</v>
      </c>
    </row>
    <row r="212" spans="1:9" ht="13.5" customHeight="1">
      <c r="A212" s="10" t="s">
        <v>299</v>
      </c>
      <c r="B212" s="10" t="s">
        <v>187</v>
      </c>
      <c r="C212" s="241" t="e">
        <f>(J208/$Q$131)*100</f>
        <v>#REF!</v>
      </c>
    </row>
    <row r="213" spans="1:9" ht="13.5" customHeight="1">
      <c r="A213" s="10" t="s">
        <v>300</v>
      </c>
      <c r="B213" s="10" t="s">
        <v>188</v>
      </c>
      <c r="C213" s="241" t="e">
        <f>(K208/$Q$131)*100</f>
        <v>#REF!</v>
      </c>
    </row>
    <row r="214" spans="1:9" ht="13.5" customHeight="1">
      <c r="A214" s="10" t="s">
        <v>301</v>
      </c>
      <c r="B214" s="10" t="s">
        <v>220</v>
      </c>
      <c r="C214" s="241" t="e">
        <f>(L208/$Q$131)*100</f>
        <v>#REF!</v>
      </c>
    </row>
    <row r="215" spans="1:9" ht="13.5" customHeight="1">
      <c r="A215" s="10" t="s">
        <v>302</v>
      </c>
      <c r="B215" s="10" t="s">
        <v>195</v>
      </c>
      <c r="C215" s="241" t="e">
        <f>(M208/$Q$131)*100</f>
        <v>#REF!</v>
      </c>
    </row>
    <row r="216" spans="1:9" ht="13.5" customHeight="1">
      <c r="A216" s="10" t="s">
        <v>303</v>
      </c>
      <c r="B216" s="10" t="s">
        <v>196</v>
      </c>
      <c r="C216" s="241" t="e">
        <f>(((I208-N208)/$Q$131)*100)</f>
        <v>#REF!</v>
      </c>
    </row>
    <row r="217" spans="1:9" ht="13.5" customHeight="1">
      <c r="C217" s="185" t="e">
        <f>SUM(C212:C216)</f>
        <v>#REF!</v>
      </c>
      <c r="D217" s="10">
        <f>4.7+1.6+0.8+0.6+0.8</f>
        <v>8.5</v>
      </c>
    </row>
    <row r="218" spans="1:9" ht="13.5" customHeight="1">
      <c r="C218" s="57"/>
      <c r="D218" s="185"/>
    </row>
    <row r="219" spans="1:9" ht="13.5" customHeight="1">
      <c r="A219" s="10" t="s">
        <v>304</v>
      </c>
      <c r="B219" s="40" t="s">
        <v>252</v>
      </c>
      <c r="C219" s="242" t="e">
        <f>SUM(Q154:Q158)</f>
        <v>#REF!</v>
      </c>
      <c r="D219" s="185"/>
    </row>
    <row r="220" spans="1:9" ht="13.5" customHeight="1">
      <c r="A220" s="10" t="s">
        <v>305</v>
      </c>
      <c r="B220" s="40" t="s">
        <v>253</v>
      </c>
      <c r="C220" s="242" t="e">
        <f>Q159</f>
        <v>#REF!</v>
      </c>
      <c r="D220" s="185"/>
    </row>
    <row r="221" spans="1:9" ht="13.5" customHeight="1">
      <c r="A221" s="10" t="s">
        <v>306</v>
      </c>
      <c r="B221" s="40" t="s">
        <v>259</v>
      </c>
      <c r="C221" s="242" t="e">
        <f>Q160</f>
        <v>#REF!</v>
      </c>
      <c r="D221" s="185"/>
    </row>
    <row r="222" spans="1:9" ht="13.5" customHeight="1">
      <c r="A222" s="10" t="s">
        <v>307</v>
      </c>
      <c r="B222" s="40" t="s">
        <v>219</v>
      </c>
      <c r="C222" s="242" t="e">
        <f>Q161</f>
        <v>#REF!</v>
      </c>
      <c r="D222" s="185"/>
    </row>
    <row r="223" spans="1:9" ht="13.5" customHeight="1">
      <c r="A223" s="10" t="s">
        <v>308</v>
      </c>
      <c r="B223" s="10" t="s">
        <v>309</v>
      </c>
      <c r="C223" s="242" t="e">
        <f>Q163</f>
        <v>#REF!</v>
      </c>
      <c r="D223" s="185"/>
    </row>
    <row r="224" spans="1:9" ht="13.5" customHeight="1">
      <c r="C224" s="185" t="e">
        <f>SUM(C219:C223)</f>
        <v>#REF!</v>
      </c>
      <c r="D224" s="185">
        <f>5.8+1.3+0.1+0+1</f>
        <v>8.1999999999999993</v>
      </c>
    </row>
    <row r="227" spans="2:19" ht="13.5" customHeight="1">
      <c r="B227" s="216">
        <v>41274</v>
      </c>
    </row>
    <row r="228" spans="2:19" ht="13.5" customHeight="1">
      <c r="B228" s="119"/>
      <c r="C228" s="349" t="s">
        <v>147</v>
      </c>
      <c r="D228" s="350"/>
      <c r="E228" s="349" t="s">
        <v>215</v>
      </c>
      <c r="F228" s="350"/>
      <c r="G228" s="122" t="s">
        <v>175</v>
      </c>
      <c r="H228" s="123" t="s">
        <v>177</v>
      </c>
      <c r="I228" s="128" t="s">
        <v>178</v>
      </c>
      <c r="J228" s="136" t="s">
        <v>189</v>
      </c>
      <c r="K228" s="137" t="s">
        <v>191</v>
      </c>
      <c r="L228" s="137" t="s">
        <v>193</v>
      </c>
      <c r="M228" s="138" t="s">
        <v>13</v>
      </c>
      <c r="N228" s="119"/>
      <c r="O228" s="119"/>
      <c r="P228" s="128" t="s">
        <v>184</v>
      </c>
      <c r="Q228" s="128" t="s">
        <v>198</v>
      </c>
    </row>
    <row r="229" spans="2:19" ht="13.5" customHeight="1">
      <c r="B229" s="120" t="s">
        <v>27</v>
      </c>
      <c r="C229" s="126" t="s">
        <v>210</v>
      </c>
      <c r="D229" s="127" t="s">
        <v>211</v>
      </c>
      <c r="E229" s="126" t="s">
        <v>210</v>
      </c>
      <c r="F229" s="127" t="s">
        <v>211</v>
      </c>
      <c r="G229" s="126" t="s">
        <v>176</v>
      </c>
      <c r="H229" s="127" t="s">
        <v>179</v>
      </c>
      <c r="I229" s="129" t="s">
        <v>174</v>
      </c>
      <c r="J229" s="126" t="s">
        <v>190</v>
      </c>
      <c r="K229" s="130" t="s">
        <v>192</v>
      </c>
      <c r="L229" s="131" t="s">
        <v>12</v>
      </c>
      <c r="M229" s="127" t="s">
        <v>194</v>
      </c>
      <c r="N229" s="129" t="s">
        <v>26</v>
      </c>
      <c r="O229" s="129" t="s">
        <v>26</v>
      </c>
      <c r="P229" s="129" t="s">
        <v>185</v>
      </c>
      <c r="Q229" s="129" t="s">
        <v>199</v>
      </c>
    </row>
    <row r="230" spans="2:19" ht="13.5" customHeight="1">
      <c r="B230" s="119" t="s">
        <v>28</v>
      </c>
      <c r="C230" s="187">
        <v>19397</v>
      </c>
      <c r="D230" s="188">
        <v>18626</v>
      </c>
      <c r="E230" s="189">
        <v>-13143</v>
      </c>
      <c r="F230" s="190">
        <v>-5032</v>
      </c>
      <c r="G230" s="187">
        <f>SUM(C230:F230)</f>
        <v>19848</v>
      </c>
      <c r="H230" s="188">
        <v>10145.54577349691</v>
      </c>
      <c r="I230" s="192">
        <f>G230+H230</f>
        <v>29993.54577349691</v>
      </c>
      <c r="J230" s="187">
        <v>29544.473733805</v>
      </c>
      <c r="K230" s="217">
        <v>9.5481010000000008</v>
      </c>
      <c r="L230" s="189">
        <v>193.31694047849999</v>
      </c>
      <c r="M230" s="188">
        <v>15.32161011</v>
      </c>
      <c r="N230" s="192">
        <f>SUM(J230:M230)</f>
        <v>29762.660385393501</v>
      </c>
      <c r="O230" s="195">
        <f>MIN(SUM($J230:$M230),$I230)</f>
        <v>29762.660385393501</v>
      </c>
      <c r="P230" s="196">
        <f>O230/I230</f>
        <v>0.99230216427737516</v>
      </c>
      <c r="Q230" s="196">
        <f>(I230-O230)/I230</f>
        <v>7.6978357226248576E-3</v>
      </c>
      <c r="R230" s="56">
        <f>N230-O230</f>
        <v>0</v>
      </c>
      <c r="S230" s="56"/>
    </row>
    <row r="231" spans="2:19" ht="13.5" customHeight="1">
      <c r="B231" s="197" t="s">
        <v>181</v>
      </c>
      <c r="C231" s="198">
        <v>10091</v>
      </c>
      <c r="D231" s="190">
        <v>4139</v>
      </c>
      <c r="E231" s="199">
        <v>-4684</v>
      </c>
      <c r="F231" s="190">
        <v>-1586</v>
      </c>
      <c r="G231" s="198">
        <f>SUM(C231:F231)</f>
        <v>7960</v>
      </c>
      <c r="H231" s="190">
        <v>1662.9277165739932</v>
      </c>
      <c r="I231" s="201">
        <f t="shared" ref="I231:I240" si="57">G231+H231</f>
        <v>9622.9277165739932</v>
      </c>
      <c r="J231" s="198">
        <v>9217.5145901222932</v>
      </c>
      <c r="K231" s="218">
        <v>0</v>
      </c>
      <c r="L231" s="199">
        <v>405.41312645170001</v>
      </c>
      <c r="M231" s="190">
        <v>0</v>
      </c>
      <c r="N231" s="201">
        <f t="shared" ref="N231:N240" si="58">SUM(J231:M231)</f>
        <v>9622.9277165739932</v>
      </c>
      <c r="O231" s="204">
        <f>MIN(SUM($J231:$M231),$I231)</f>
        <v>9622.9277165739932</v>
      </c>
      <c r="P231" s="205">
        <f>O231/I231</f>
        <v>1</v>
      </c>
      <c r="Q231" s="205">
        <f>(I231-O231)/I231</f>
        <v>0</v>
      </c>
      <c r="R231" s="56">
        <f t="shared" ref="R231:R240" si="59">N231-O231</f>
        <v>0</v>
      </c>
      <c r="S231" s="56"/>
    </row>
    <row r="232" spans="2:19" ht="13.5" customHeight="1">
      <c r="B232" s="197" t="s">
        <v>171</v>
      </c>
      <c r="C232" s="198">
        <v>4343</v>
      </c>
      <c r="D232" s="190">
        <v>6913</v>
      </c>
      <c r="E232" s="199">
        <v>-2361</v>
      </c>
      <c r="F232" s="190">
        <v>-2648</v>
      </c>
      <c r="G232" s="198">
        <f t="shared" ref="G232:G239" si="60">SUM(C232:F232)</f>
        <v>6247</v>
      </c>
      <c r="H232" s="190">
        <v>5096.1204874016121</v>
      </c>
      <c r="I232" s="201">
        <f t="shared" si="57"/>
        <v>11343.120487401611</v>
      </c>
      <c r="J232" s="198">
        <v>613.48290530589998</v>
      </c>
      <c r="K232" s="218">
        <v>10079.699740087211</v>
      </c>
      <c r="L232" s="199">
        <v>649.93784200849996</v>
      </c>
      <c r="M232" s="190">
        <v>0</v>
      </c>
      <c r="N232" s="201">
        <f t="shared" si="58"/>
        <v>11343.120487401611</v>
      </c>
      <c r="O232" s="204">
        <f t="shared" ref="O232:O240" si="61">MIN(SUM($J232:$M232),$I232)</f>
        <v>11343.120487401611</v>
      </c>
      <c r="P232" s="205">
        <f t="shared" ref="P232:P240" si="62">O232/I232</f>
        <v>1</v>
      </c>
      <c r="Q232" s="205">
        <f t="shared" ref="Q232:Q240" si="63">(I232-O232)/I232</f>
        <v>0</v>
      </c>
      <c r="R232" s="56">
        <f t="shared" si="59"/>
        <v>0</v>
      </c>
      <c r="S232" s="56"/>
    </row>
    <row r="233" spans="2:19" ht="13.5" customHeight="1">
      <c r="B233" s="197" t="s">
        <v>180</v>
      </c>
      <c r="C233" s="198">
        <v>11192</v>
      </c>
      <c r="D233" s="190">
        <v>307</v>
      </c>
      <c r="E233" s="199">
        <v>-7561</v>
      </c>
      <c r="F233" s="190">
        <v>-187</v>
      </c>
      <c r="G233" s="198">
        <f t="shared" si="60"/>
        <v>3751</v>
      </c>
      <c r="H233" s="190">
        <v>25.79982222528956</v>
      </c>
      <c r="I233" s="201">
        <f t="shared" si="57"/>
        <v>3776.7998222252895</v>
      </c>
      <c r="J233" s="198">
        <v>67.387969686600002</v>
      </c>
      <c r="K233" s="218">
        <v>0</v>
      </c>
      <c r="L233" s="199">
        <v>0</v>
      </c>
      <c r="M233" s="190">
        <v>32.716023499999999</v>
      </c>
      <c r="N233" s="201">
        <f t="shared" si="58"/>
        <v>100.10399318660001</v>
      </c>
      <c r="O233" s="204">
        <f t="shared" si="61"/>
        <v>100.10399318660001</v>
      </c>
      <c r="P233" s="205">
        <f t="shared" si="62"/>
        <v>2.6504977202529829E-2</v>
      </c>
      <c r="Q233" s="205">
        <f t="shared" si="63"/>
        <v>0.97349502279747024</v>
      </c>
      <c r="R233" s="56">
        <f t="shared" si="59"/>
        <v>0</v>
      </c>
      <c r="S233" s="56"/>
    </row>
    <row r="234" spans="2:19" ht="13.5" customHeight="1">
      <c r="B234" s="197" t="s">
        <v>212</v>
      </c>
      <c r="C234" s="198">
        <v>8399</v>
      </c>
      <c r="D234" s="190">
        <v>5638</v>
      </c>
      <c r="E234" s="199">
        <v>-5295</v>
      </c>
      <c r="F234" s="190">
        <v>-2639</v>
      </c>
      <c r="G234" s="198">
        <f t="shared" si="60"/>
        <v>6103</v>
      </c>
      <c r="H234" s="190">
        <v>1530.7660229900159</v>
      </c>
      <c r="I234" s="201">
        <f t="shared" si="57"/>
        <v>7633.7660229900157</v>
      </c>
      <c r="J234" s="198">
        <v>2773.2637027925998</v>
      </c>
      <c r="K234" s="218">
        <v>0</v>
      </c>
      <c r="L234" s="199">
        <v>784.30535740020002</v>
      </c>
      <c r="M234" s="190">
        <v>771.87028978000001</v>
      </c>
      <c r="N234" s="201">
        <f t="shared" si="58"/>
        <v>4329.4393499728003</v>
      </c>
      <c r="O234" s="204">
        <f t="shared" si="61"/>
        <v>4329.4393499728003</v>
      </c>
      <c r="P234" s="205">
        <f t="shared" si="62"/>
        <v>0.56714331261059958</v>
      </c>
      <c r="Q234" s="205">
        <f t="shared" si="63"/>
        <v>0.43285668738940036</v>
      </c>
      <c r="R234" s="56">
        <f t="shared" si="59"/>
        <v>0</v>
      </c>
      <c r="S234" s="56"/>
    </row>
    <row r="235" spans="2:19" ht="13.5" customHeight="1">
      <c r="B235" s="197" t="s">
        <v>213</v>
      </c>
      <c r="C235" s="198">
        <v>8363</v>
      </c>
      <c r="D235" s="190">
        <v>1492</v>
      </c>
      <c r="E235" s="199">
        <v>-6405</v>
      </c>
      <c r="F235" s="190">
        <v>-1142</v>
      </c>
      <c r="G235" s="198">
        <f t="shared" si="60"/>
        <v>2308</v>
      </c>
      <c r="H235" s="190">
        <v>1563.9269717708335</v>
      </c>
      <c r="I235" s="201">
        <f t="shared" si="57"/>
        <v>3871.9269717708335</v>
      </c>
      <c r="J235" s="198">
        <v>347.59549513590002</v>
      </c>
      <c r="K235" s="218">
        <v>0</v>
      </c>
      <c r="L235" s="199">
        <v>2921.7577275395001</v>
      </c>
      <c r="M235" s="190">
        <v>294.56091765999997</v>
      </c>
      <c r="N235" s="201">
        <f t="shared" si="58"/>
        <v>3563.9141403354001</v>
      </c>
      <c r="O235" s="204">
        <f t="shared" si="61"/>
        <v>3563.9141403354001</v>
      </c>
      <c r="P235" s="205">
        <f t="shared" si="62"/>
        <v>0.92044973118525453</v>
      </c>
      <c r="Q235" s="205">
        <f t="shared" si="63"/>
        <v>7.9550268814745501E-2</v>
      </c>
      <c r="R235" s="56">
        <f t="shared" si="59"/>
        <v>0</v>
      </c>
      <c r="S235" s="56"/>
    </row>
    <row r="236" spans="2:19" ht="13.5" customHeight="1">
      <c r="B236" s="197" t="s">
        <v>214</v>
      </c>
      <c r="C236" s="198">
        <v>1152</v>
      </c>
      <c r="D236" s="190">
        <v>999</v>
      </c>
      <c r="E236" s="199">
        <v>-604</v>
      </c>
      <c r="F236" s="190">
        <v>-483</v>
      </c>
      <c r="G236" s="198">
        <f t="shared" si="60"/>
        <v>1064</v>
      </c>
      <c r="H236" s="190">
        <v>51.347395880924303</v>
      </c>
      <c r="I236" s="201">
        <f t="shared" si="57"/>
        <v>1115.3473958809243</v>
      </c>
      <c r="J236" s="198">
        <v>391.64802050729998</v>
      </c>
      <c r="K236" s="218">
        <v>0</v>
      </c>
      <c r="L236" s="199">
        <v>1.9663090000000001</v>
      </c>
      <c r="M236" s="190">
        <v>148.6667660178</v>
      </c>
      <c r="N236" s="201">
        <f t="shared" si="58"/>
        <v>542.2810955251</v>
      </c>
      <c r="O236" s="204">
        <f t="shared" si="61"/>
        <v>542.2810955251</v>
      </c>
      <c r="P236" s="205">
        <f t="shared" si="62"/>
        <v>0.48619927524625206</v>
      </c>
      <c r="Q236" s="205">
        <f t="shared" si="63"/>
        <v>0.51380072475374794</v>
      </c>
      <c r="R236" s="56">
        <f t="shared" si="59"/>
        <v>0</v>
      </c>
      <c r="S236" s="56"/>
    </row>
    <row r="237" spans="2:19" ht="13.5" customHeight="1">
      <c r="B237" s="197" t="s">
        <v>172</v>
      </c>
      <c r="C237" s="198">
        <v>40</v>
      </c>
      <c r="D237" s="190">
        <v>120</v>
      </c>
      <c r="E237" s="199">
        <v>-35</v>
      </c>
      <c r="F237" s="190">
        <v>-36</v>
      </c>
      <c r="G237" s="198">
        <f t="shared" si="60"/>
        <v>89</v>
      </c>
      <c r="H237" s="190">
        <v>1.5110680058185437</v>
      </c>
      <c r="I237" s="201">
        <f t="shared" si="57"/>
        <v>90.511068005818544</v>
      </c>
      <c r="J237" s="198">
        <v>86.671182709999997</v>
      </c>
      <c r="K237" s="218">
        <v>0</v>
      </c>
      <c r="L237" s="199">
        <v>3.8180000000000002E-3</v>
      </c>
      <c r="M237" s="190">
        <v>9.9999999999999995E-7</v>
      </c>
      <c r="N237" s="201">
        <f t="shared" si="58"/>
        <v>86.675001709999989</v>
      </c>
      <c r="O237" s="204">
        <f t="shared" si="61"/>
        <v>86.675001709999989</v>
      </c>
      <c r="P237" s="205">
        <f t="shared" si="62"/>
        <v>0.95761771040452259</v>
      </c>
      <c r="Q237" s="205">
        <f t="shared" si="63"/>
        <v>4.2382289595477442E-2</v>
      </c>
      <c r="R237" s="56">
        <f t="shared" si="59"/>
        <v>0</v>
      </c>
      <c r="S237" s="56"/>
    </row>
    <row r="238" spans="2:19" ht="13.5" customHeight="1">
      <c r="B238" s="197" t="s">
        <v>173</v>
      </c>
      <c r="C238" s="198">
        <v>1168</v>
      </c>
      <c r="D238" s="190">
        <v>1328</v>
      </c>
      <c r="E238" s="199">
        <v>-744</v>
      </c>
      <c r="F238" s="190">
        <v>-505</v>
      </c>
      <c r="G238" s="198">
        <f t="shared" si="60"/>
        <v>1247</v>
      </c>
      <c r="H238" s="190">
        <v>30.846385708113932</v>
      </c>
      <c r="I238" s="201">
        <f t="shared" si="57"/>
        <v>1277.846385708114</v>
      </c>
      <c r="J238" s="198">
        <v>766.46213925389998</v>
      </c>
      <c r="K238" s="218">
        <v>1.838854</v>
      </c>
      <c r="L238" s="199">
        <v>1.5015000000000001E-2</v>
      </c>
      <c r="M238" s="190">
        <v>0.5</v>
      </c>
      <c r="N238" s="201">
        <f t="shared" si="58"/>
        <v>768.81600825389989</v>
      </c>
      <c r="O238" s="204">
        <f t="shared" si="61"/>
        <v>768.81600825389989</v>
      </c>
      <c r="P238" s="205">
        <f t="shared" si="62"/>
        <v>0.60164978893598642</v>
      </c>
      <c r="Q238" s="205">
        <f t="shared" si="63"/>
        <v>0.39835021106401358</v>
      </c>
      <c r="R238" s="56">
        <f t="shared" si="59"/>
        <v>0</v>
      </c>
      <c r="S238" s="56"/>
    </row>
    <row r="239" spans="2:19" ht="13.5" customHeight="1">
      <c r="B239" s="197" t="s">
        <v>202</v>
      </c>
      <c r="C239" s="198">
        <v>38</v>
      </c>
      <c r="D239" s="190">
        <v>406</v>
      </c>
      <c r="E239" s="199">
        <v>-30</v>
      </c>
      <c r="F239" s="190">
        <v>-262</v>
      </c>
      <c r="G239" s="198">
        <f t="shared" si="60"/>
        <v>152</v>
      </c>
      <c r="H239" s="190">
        <v>179.20817409963485</v>
      </c>
      <c r="I239" s="201">
        <f t="shared" si="57"/>
        <v>331.20817409963485</v>
      </c>
      <c r="J239" s="198">
        <v>78.096490540000005</v>
      </c>
      <c r="K239" s="218">
        <v>0</v>
      </c>
      <c r="L239" s="199">
        <v>0</v>
      </c>
      <c r="M239" s="190">
        <v>0</v>
      </c>
      <c r="N239" s="201">
        <f t="shared" si="58"/>
        <v>78.096490540000005</v>
      </c>
      <c r="O239" s="204">
        <f t="shared" si="61"/>
        <v>78.096490540000005</v>
      </c>
      <c r="P239" s="205">
        <f t="shared" si="62"/>
        <v>0.23579276312337277</v>
      </c>
      <c r="Q239" s="205">
        <f t="shared" si="63"/>
        <v>0.76420723687662728</v>
      </c>
      <c r="R239" s="56">
        <f t="shared" si="59"/>
        <v>0</v>
      </c>
      <c r="S239" s="56"/>
    </row>
    <row r="240" spans="2:19" ht="13.5" customHeight="1">
      <c r="B240" s="206" t="s">
        <v>182</v>
      </c>
      <c r="C240" s="207">
        <v>895</v>
      </c>
      <c r="D240" s="208">
        <v>1391</v>
      </c>
      <c r="E240" s="209">
        <v>-636</v>
      </c>
      <c r="F240" s="208">
        <v>-422</v>
      </c>
      <c r="G240" s="207">
        <f>SUM(C240:F240)</f>
        <v>1228</v>
      </c>
      <c r="H240" s="208">
        <v>286.05490784685446</v>
      </c>
      <c r="I240" s="211">
        <f t="shared" si="57"/>
        <v>1514.0549078468543</v>
      </c>
      <c r="J240" s="207">
        <v>540.28152144850003</v>
      </c>
      <c r="K240" s="219">
        <v>0</v>
      </c>
      <c r="L240" s="209">
        <v>0</v>
      </c>
      <c r="M240" s="208">
        <v>0</v>
      </c>
      <c r="N240" s="211">
        <f t="shared" si="58"/>
        <v>540.28152144850003</v>
      </c>
      <c r="O240" s="204">
        <f t="shared" si="61"/>
        <v>540.28152144850003</v>
      </c>
      <c r="P240" s="205">
        <f t="shared" si="62"/>
        <v>0.35684407391594358</v>
      </c>
      <c r="Q240" s="205">
        <f t="shared" si="63"/>
        <v>0.64315592608405647</v>
      </c>
      <c r="R240" s="56">
        <f t="shared" si="59"/>
        <v>0</v>
      </c>
      <c r="S240" s="56"/>
    </row>
    <row r="241" spans="2:17" ht="13.5" customHeight="1" thickBot="1">
      <c r="B241" s="121" t="s">
        <v>26</v>
      </c>
      <c r="C241" s="124">
        <f t="shared" ref="C241:O241" si="64">SUM(C230:C240)</f>
        <v>65078</v>
      </c>
      <c r="D241" s="133">
        <f t="shared" si="64"/>
        <v>41359</v>
      </c>
      <c r="E241" s="141">
        <f t="shared" si="64"/>
        <v>-41498</v>
      </c>
      <c r="F241" s="125">
        <f t="shared" si="64"/>
        <v>-14942</v>
      </c>
      <c r="G241" s="132">
        <f t="shared" si="64"/>
        <v>49997</v>
      </c>
      <c r="H241" s="133">
        <f t="shared" si="64"/>
        <v>20574.054726000002</v>
      </c>
      <c r="I241" s="134">
        <f t="shared" si="64"/>
        <v>70571.054725999988</v>
      </c>
      <c r="J241" s="132">
        <f t="shared" si="64"/>
        <v>44426.877751307999</v>
      </c>
      <c r="K241" s="135">
        <f t="shared" si="64"/>
        <v>10091.086695087211</v>
      </c>
      <c r="L241" s="135">
        <f t="shared" si="64"/>
        <v>4956.7161358784006</v>
      </c>
      <c r="M241" s="133">
        <f t="shared" si="64"/>
        <v>1263.6356080677999</v>
      </c>
      <c r="N241" s="134">
        <f t="shared" si="64"/>
        <v>60738.316190341415</v>
      </c>
      <c r="O241" s="134">
        <f t="shared" si="64"/>
        <v>60738.316190341415</v>
      </c>
      <c r="P241" s="214">
        <f>O241/I241</f>
        <v>0.86066895877020289</v>
      </c>
      <c r="Q241" s="215">
        <f>(I241-O241)/I241</f>
        <v>0.13933104122979711</v>
      </c>
    </row>
    <row r="242" spans="2:17" ht="13.5" customHeight="1" thickTop="1"/>
    <row r="245" spans="2:17" ht="13.5" customHeight="1">
      <c r="B245" s="10" t="s">
        <v>187</v>
      </c>
      <c r="C245" s="56">
        <f>J241</f>
        <v>44426.877751307999</v>
      </c>
      <c r="D245" s="54" t="e">
        <f>(C245/$L$131)*100</f>
        <v>#REF!</v>
      </c>
    </row>
    <row r="246" spans="2:17" ht="13.5" customHeight="1">
      <c r="B246" s="10" t="s">
        <v>188</v>
      </c>
      <c r="C246" s="56">
        <f>K241</f>
        <v>10091.086695087211</v>
      </c>
      <c r="D246" s="54" t="e">
        <f>(C246/$L$131)*100</f>
        <v>#REF!</v>
      </c>
    </row>
    <row r="247" spans="2:17" ht="13.5" customHeight="1">
      <c r="B247" s="10" t="s">
        <v>220</v>
      </c>
      <c r="C247" s="56">
        <f>L241</f>
        <v>4956.7161358784006</v>
      </c>
      <c r="D247" s="54" t="e">
        <f>(C247/$L$131)*100</f>
        <v>#REF!</v>
      </c>
    </row>
    <row r="248" spans="2:17" ht="13.5" customHeight="1">
      <c r="B248" s="10" t="s">
        <v>195</v>
      </c>
      <c r="C248" s="56">
        <f>M241</f>
        <v>1263.6356080677999</v>
      </c>
      <c r="D248" s="54" t="e">
        <f>(C248/$L$131)*100</f>
        <v>#REF!</v>
      </c>
    </row>
    <row r="249" spans="2:17" ht="13.5" customHeight="1">
      <c r="B249" s="10" t="s">
        <v>196</v>
      </c>
      <c r="C249" s="56">
        <f>I241-N241</f>
        <v>9832.7385356585728</v>
      </c>
      <c r="D249" s="54" t="e">
        <f>((C249/$L$131)*100)+0.02</f>
        <v>#REF!</v>
      </c>
    </row>
    <row r="250" spans="2:17" ht="13.5" customHeight="1">
      <c r="C250" s="57">
        <f>SUM(C245:C249)</f>
        <v>70571.054725999988</v>
      </c>
      <c r="D250" s="185" t="e">
        <f>SUM(D245:D249)</f>
        <v>#REF!</v>
      </c>
    </row>
    <row r="252" spans="2:17" ht="13.5" customHeight="1">
      <c r="D252" s="10">
        <f>7.8+1.8+0.9+0.2+1.7</f>
        <v>12.399999999999999</v>
      </c>
    </row>
  </sheetData>
  <mergeCells count="10">
    <mergeCell ref="E119:H119"/>
    <mergeCell ref="I119:L119"/>
    <mergeCell ref="M119:P119"/>
    <mergeCell ref="M194:N194"/>
    <mergeCell ref="C194:G194"/>
    <mergeCell ref="C228:D228"/>
    <mergeCell ref="E228:F228"/>
    <mergeCell ref="C195:D195"/>
    <mergeCell ref="E195:F195"/>
    <mergeCell ref="H194:K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C"/>
    <pageSetUpPr fitToPage="1"/>
  </sheetPr>
  <dimension ref="A1:I76"/>
  <sheetViews>
    <sheetView zoomScaleNormal="100" zoomScaleSheetLayoutView="100" workbookViewId="0"/>
  </sheetViews>
  <sheetFormatPr defaultColWidth="9.140625" defaultRowHeight="15"/>
  <cols>
    <col min="1" max="1" width="44.85546875" style="247" customWidth="1"/>
    <col min="2" max="6" width="9" style="247" customWidth="1"/>
    <col min="7" max="7" width="40.28515625" style="247" customWidth="1"/>
    <col min="8" max="8" width="9.28515625" style="247" bestFit="1" customWidth="1"/>
    <col min="9" max="9" width="11.7109375" style="247" bestFit="1" customWidth="1"/>
    <col min="10" max="16384" width="9.140625" style="247"/>
  </cols>
  <sheetData>
    <row r="1" spans="1:7" ht="27.75" customHeight="1">
      <c r="A1" s="254" t="s">
        <v>338</v>
      </c>
      <c r="B1" s="283">
        <v>0</v>
      </c>
      <c r="C1" s="283">
        <v>4</v>
      </c>
      <c r="D1" s="283">
        <v>8</v>
      </c>
      <c r="E1" s="283">
        <v>12</v>
      </c>
      <c r="F1" s="283">
        <v>16</v>
      </c>
      <c r="G1" s="245"/>
    </row>
    <row r="2" spans="1:7">
      <c r="A2" s="256" t="s">
        <v>315</v>
      </c>
      <c r="B2" s="257" t="s">
        <v>445</v>
      </c>
      <c r="C2" s="257" t="s">
        <v>437</v>
      </c>
      <c r="D2" s="257" t="s">
        <v>274</v>
      </c>
      <c r="E2" s="257" t="s">
        <v>271</v>
      </c>
      <c r="F2" s="257" t="s">
        <v>270</v>
      </c>
      <c r="G2" s="245"/>
    </row>
    <row r="3" spans="1:7">
      <c r="A3" s="258"/>
      <c r="B3" s="259"/>
      <c r="C3" s="259"/>
      <c r="D3" s="259"/>
      <c r="E3" s="259"/>
      <c r="F3" s="259"/>
      <c r="G3" s="245"/>
    </row>
    <row r="4" spans="1:7">
      <c r="A4" s="260" t="s">
        <v>116</v>
      </c>
      <c r="B4" s="261"/>
      <c r="C4" s="261"/>
      <c r="D4" s="261"/>
      <c r="E4" s="261"/>
      <c r="F4" s="261"/>
      <c r="G4" s="245"/>
    </row>
    <row r="5" spans="1:7">
      <c r="A5" s="262" t="s">
        <v>126</v>
      </c>
      <c r="B5" s="301">
        <v>0.12661209811458307</v>
      </c>
      <c r="C5" s="301">
        <v>0.12475210708973723</v>
      </c>
      <c r="D5" s="301">
        <v>-4.6475285252499304E-2</v>
      </c>
      <c r="E5" s="301">
        <v>2.0674600200856708E-2</v>
      </c>
      <c r="F5" s="301">
        <v>3.6262310204362644E-2</v>
      </c>
      <c r="G5" s="245"/>
    </row>
    <row r="6" spans="1:7">
      <c r="A6" s="262" t="s">
        <v>127</v>
      </c>
      <c r="B6" s="301">
        <v>1.7531495785683641E-2</v>
      </c>
      <c r="C6" s="301">
        <v>2.0525117055449509E-2</v>
      </c>
      <c r="D6" s="301">
        <v>-7.6521969004372872E-3</v>
      </c>
      <c r="E6" s="301">
        <v>3.4117834843686626E-3</v>
      </c>
      <c r="F6" s="301">
        <v>6.840031037925816E-3</v>
      </c>
      <c r="G6" s="245"/>
    </row>
    <row r="7" spans="1:7">
      <c r="A7" s="262" t="s">
        <v>449</v>
      </c>
      <c r="B7" s="301">
        <v>2.7647163647163648E-2</v>
      </c>
      <c r="C7" s="301">
        <v>3.220497273256314E-2</v>
      </c>
      <c r="D7" s="301">
        <v>-1.212155896871831E-2</v>
      </c>
      <c r="E7" s="301">
        <v>5.1395549463483219E-3</v>
      </c>
      <c r="F7" s="301">
        <v>1.0086986674464371E-2</v>
      </c>
      <c r="G7" s="245"/>
    </row>
    <row r="8" spans="1:7">
      <c r="A8" s="262" t="s">
        <v>448</v>
      </c>
      <c r="B8" s="301">
        <v>6.8970596970596973E-2</v>
      </c>
      <c r="C8" s="301">
        <v>6.9844101321142479E-2</v>
      </c>
      <c r="D8" s="301">
        <v>5.0116588347865289E-2</v>
      </c>
      <c r="E8" s="301">
        <v>5.9109930561734927E-2</v>
      </c>
      <c r="F8" s="301">
        <v>5.5946806542308804E-2</v>
      </c>
      <c r="G8" s="245"/>
    </row>
    <row r="9" spans="1:7">
      <c r="A9" s="262" t="s">
        <v>332</v>
      </c>
      <c r="B9" s="293">
        <v>3.67</v>
      </c>
      <c r="C9" s="293">
        <v>3.61</v>
      </c>
      <c r="D9" s="293">
        <v>-1.25</v>
      </c>
      <c r="E9" s="293">
        <v>0.56146079479051647</v>
      </c>
      <c r="F9" s="293">
        <v>1.01</v>
      </c>
      <c r="G9" s="245"/>
    </row>
    <row r="10" spans="1:7">
      <c r="A10" s="262" t="s">
        <v>322</v>
      </c>
      <c r="B10" s="293">
        <v>3.6108654453569171</v>
      </c>
      <c r="C10" s="293">
        <v>3.5457262402869096</v>
      </c>
      <c r="D10" s="293">
        <v>-0.73659942363112396</v>
      </c>
      <c r="E10" s="293">
        <v>1.2331863285556781</v>
      </c>
      <c r="F10" s="293">
        <v>1.1499999999999999</v>
      </c>
      <c r="G10" s="245"/>
    </row>
    <row r="11" spans="1:7">
      <c r="A11" s="264"/>
      <c r="B11" s="285"/>
      <c r="C11" s="285"/>
      <c r="D11" s="285"/>
      <c r="E11" s="285"/>
      <c r="F11" s="285"/>
      <c r="G11" s="245"/>
    </row>
    <row r="12" spans="1:7">
      <c r="A12" s="260" t="s">
        <v>9</v>
      </c>
      <c r="B12" s="285"/>
      <c r="C12" s="285"/>
      <c r="D12" s="285"/>
      <c r="E12" s="285"/>
      <c r="F12" s="285"/>
      <c r="G12" s="245"/>
    </row>
    <row r="13" spans="1:7" s="244" customFormat="1">
      <c r="A13" s="262" t="s">
        <v>366</v>
      </c>
      <c r="B13" s="284">
        <v>3.0948828498771508E-2</v>
      </c>
      <c r="C13" s="284">
        <v>2.667089004280173E-2</v>
      </c>
      <c r="D13" s="284">
        <v>2.7837300426285343E-2</v>
      </c>
      <c r="E13" s="284">
        <v>2.7252281074167408E-2</v>
      </c>
      <c r="F13" s="284">
        <v>2.6520443798945526E-2</v>
      </c>
      <c r="G13" s="245"/>
    </row>
    <row r="14" spans="1:7">
      <c r="A14" s="262" t="s">
        <v>333</v>
      </c>
      <c r="B14" s="284">
        <v>2.8710913002061487E-2</v>
      </c>
      <c r="C14" s="284">
        <v>2.4953702503909637E-2</v>
      </c>
      <c r="D14" s="284">
        <v>2.5564893652174871E-2</v>
      </c>
      <c r="E14" s="284">
        <v>2.4914733224751118E-2</v>
      </c>
      <c r="F14" s="284">
        <v>2.3959410926587758E-2</v>
      </c>
      <c r="G14" s="245"/>
    </row>
    <row r="15" spans="1:7">
      <c r="A15" s="262" t="s">
        <v>404</v>
      </c>
      <c r="B15" s="284">
        <v>5.3117251817752301E-2</v>
      </c>
      <c r="C15" s="284">
        <v>4.6185541069715508E-2</v>
      </c>
      <c r="D15" s="284">
        <v>4.7560538785560366E-2</v>
      </c>
      <c r="E15" s="284">
        <v>4.3321962338039803E-2</v>
      </c>
      <c r="F15" s="284">
        <v>4.1024870614216287E-2</v>
      </c>
      <c r="G15" s="245"/>
    </row>
    <row r="16" spans="1:7">
      <c r="A16" s="266"/>
      <c r="B16" s="284"/>
      <c r="C16" s="284"/>
      <c r="D16" s="284"/>
      <c r="E16" s="284"/>
      <c r="F16" s="284"/>
      <c r="G16" s="245"/>
    </row>
    <row r="17" spans="1:9">
      <c r="A17" s="260" t="s">
        <v>117</v>
      </c>
      <c r="B17" s="284"/>
      <c r="C17" s="284"/>
      <c r="D17" s="284"/>
      <c r="E17" s="284"/>
      <c r="F17" s="284"/>
      <c r="G17" s="245"/>
    </row>
    <row r="18" spans="1:9">
      <c r="A18" s="262" t="s">
        <v>128</v>
      </c>
      <c r="B18" s="284">
        <v>0.42724266225713103</v>
      </c>
      <c r="C18" s="284">
        <v>0.46178514163548906</v>
      </c>
      <c r="D18" s="284">
        <v>0.69151069518716579</v>
      </c>
      <c r="E18" s="284">
        <v>0.58609497779296205</v>
      </c>
      <c r="F18" s="284">
        <v>0.62525439407955596</v>
      </c>
      <c r="G18" s="332"/>
      <c r="H18" s="331"/>
      <c r="I18" s="333"/>
    </row>
    <row r="19" spans="1:9">
      <c r="A19" s="262" t="s">
        <v>129</v>
      </c>
      <c r="B19" s="284">
        <v>1.8685597347374402E-2</v>
      </c>
      <c r="C19" s="284">
        <v>2.0555705903520224E-2</v>
      </c>
      <c r="D19" s="284">
        <v>2.1878022183792832E-2</v>
      </c>
      <c r="E19" s="284">
        <v>2.2997699675577368E-2</v>
      </c>
      <c r="F19" s="284">
        <v>2.3720764384474392E-2</v>
      </c>
      <c r="G19" s="332"/>
      <c r="H19" s="331"/>
      <c r="I19" s="333"/>
    </row>
    <row r="20" spans="1:9">
      <c r="A20" s="262" t="s">
        <v>380</v>
      </c>
      <c r="B20" s="286">
        <v>753</v>
      </c>
      <c r="C20" s="286">
        <v>772</v>
      </c>
      <c r="D20" s="286">
        <v>814</v>
      </c>
      <c r="E20" s="286">
        <v>917</v>
      </c>
      <c r="F20" s="286">
        <v>956</v>
      </c>
      <c r="G20" s="332"/>
      <c r="H20" s="332"/>
      <c r="I20" s="332"/>
    </row>
    <row r="21" spans="1:9">
      <c r="A21" s="264"/>
      <c r="B21" s="284"/>
      <c r="C21" s="284"/>
      <c r="D21" s="284"/>
      <c r="E21" s="284"/>
      <c r="F21" s="284"/>
      <c r="G21" s="332"/>
    </row>
    <row r="22" spans="1:9">
      <c r="A22" s="260" t="s">
        <v>119</v>
      </c>
      <c r="B22" s="284"/>
      <c r="C22" s="284"/>
      <c r="D22" s="284"/>
      <c r="E22" s="284"/>
      <c r="F22" s="284"/>
      <c r="G22" s="332"/>
    </row>
    <row r="23" spans="1:9">
      <c r="A23" s="262" t="s">
        <v>400</v>
      </c>
      <c r="B23" s="284">
        <v>1.6332522311564426E-2</v>
      </c>
      <c r="C23" s="284">
        <v>2.85397140372501E-2</v>
      </c>
      <c r="D23" s="284">
        <v>2.9361980236569551E-2</v>
      </c>
      <c r="E23" s="284">
        <v>2.4995650339750174E-2</v>
      </c>
      <c r="F23" s="284">
        <v>3.3469433314180404E-2</v>
      </c>
      <c r="G23" s="245"/>
    </row>
    <row r="24" spans="1:9">
      <c r="A24" s="262" t="s">
        <v>33</v>
      </c>
      <c r="B24" s="284">
        <v>0.64926790528070155</v>
      </c>
      <c r="C24" s="284">
        <v>0.63871007617520381</v>
      </c>
      <c r="D24" s="284">
        <v>0.60031317876445922</v>
      </c>
      <c r="E24" s="284">
        <v>0.64437564401680214</v>
      </c>
      <c r="F24" s="284">
        <v>0.68829133059883385</v>
      </c>
      <c r="G24" s="245"/>
    </row>
    <row r="25" spans="1:9">
      <c r="A25" s="264"/>
      <c r="B25" s="284"/>
      <c r="C25" s="284"/>
      <c r="D25" s="284"/>
      <c r="E25" s="284"/>
      <c r="F25" s="284"/>
      <c r="G25" s="245"/>
    </row>
    <row r="26" spans="1:9">
      <c r="A26" s="260" t="s">
        <v>122</v>
      </c>
      <c r="B26" s="287"/>
      <c r="C26" s="287"/>
      <c r="D26" s="287"/>
      <c r="E26" s="287"/>
      <c r="F26" s="287"/>
      <c r="G26" s="245"/>
    </row>
    <row r="27" spans="1:9">
      <c r="A27" s="262" t="s">
        <v>123</v>
      </c>
      <c r="B27" s="284">
        <v>0.12901645395465375</v>
      </c>
      <c r="C27" s="284">
        <v>0.1603760245806215</v>
      </c>
      <c r="D27" s="284">
        <v>0.1548037581451735</v>
      </c>
      <c r="E27" s="284">
        <v>0.15789238157383861</v>
      </c>
      <c r="F27" s="284">
        <v>0.18046555280199122</v>
      </c>
      <c r="G27" s="245"/>
    </row>
    <row r="28" spans="1:9">
      <c r="A28" s="266"/>
      <c r="B28" s="287"/>
      <c r="C28" s="287"/>
      <c r="D28" s="287"/>
      <c r="E28" s="287"/>
      <c r="F28" s="287"/>
      <c r="G28" s="245"/>
    </row>
    <row r="29" spans="1:9">
      <c r="A29" s="260" t="s">
        <v>118</v>
      </c>
      <c r="B29" s="287"/>
      <c r="C29" s="287"/>
      <c r="D29" s="287"/>
      <c r="E29" s="287"/>
      <c r="F29" s="287"/>
      <c r="G29" s="245"/>
    </row>
    <row r="30" spans="1:9">
      <c r="A30" s="262" t="s">
        <v>312</v>
      </c>
      <c r="B30" s="284">
        <v>1.9541263097498669</v>
      </c>
      <c r="C30" s="284">
        <v>1.9156505782649638</v>
      </c>
      <c r="D30" s="284">
        <v>2.2417978111755192</v>
      </c>
      <c r="E30" s="284">
        <v>2.1298629316156092</v>
      </c>
      <c r="F30" s="284">
        <v>2.0987186304612586</v>
      </c>
      <c r="G30" s="245"/>
    </row>
    <row r="31" spans="1:9">
      <c r="A31" s="262" t="s">
        <v>41</v>
      </c>
      <c r="B31" s="284">
        <v>1.4360157370298194</v>
      </c>
      <c r="C31" s="284">
        <v>1.4128362642184493</v>
      </c>
      <c r="D31" s="284">
        <v>1.4441047111875871</v>
      </c>
      <c r="E31" s="284">
        <v>1.6907032788690124</v>
      </c>
      <c r="F31" s="284">
        <v>1.7266083951987996</v>
      </c>
      <c r="G31" s="245"/>
    </row>
    <row r="32" spans="1:9">
      <c r="A32" s="262" t="s">
        <v>239</v>
      </c>
      <c r="B32" s="284">
        <v>1.1012214582490716</v>
      </c>
      <c r="C32" s="284">
        <v>1.1514918824045635</v>
      </c>
      <c r="D32" s="284">
        <v>1.1670721215177857</v>
      </c>
      <c r="E32" s="284">
        <v>1.2506330610796903</v>
      </c>
      <c r="F32" s="284">
        <v>1.3437838803227291</v>
      </c>
      <c r="G32" s="245"/>
    </row>
    <row r="33" spans="1:7">
      <c r="A33" s="262" t="s">
        <v>120</v>
      </c>
      <c r="B33" s="284">
        <v>0.64494496061162254</v>
      </c>
      <c r="C33" s="284">
        <v>0.66144467626003689</v>
      </c>
      <c r="D33" s="284">
        <v>0.61979895119963857</v>
      </c>
      <c r="E33" s="284">
        <v>0.51914607155445336</v>
      </c>
      <c r="F33" s="284">
        <v>0.52571850284059263</v>
      </c>
      <c r="G33" s="245"/>
    </row>
    <row r="34" spans="1:7">
      <c r="A34" s="262" t="s">
        <v>121</v>
      </c>
      <c r="B34" s="284">
        <v>0.21592229510218214</v>
      </c>
      <c r="C34" s="284">
        <v>0.17286485002126528</v>
      </c>
      <c r="D34" s="284">
        <v>0.17170514528172001</v>
      </c>
      <c r="E34" s="284">
        <v>0.22846258797179822</v>
      </c>
      <c r="F34" s="284">
        <v>0.2012573799710371</v>
      </c>
      <c r="G34" s="245"/>
    </row>
    <row r="35" spans="1:7">
      <c r="A35" s="268"/>
      <c r="B35" s="287"/>
      <c r="C35" s="287"/>
      <c r="D35" s="287"/>
      <c r="E35" s="287"/>
      <c r="F35" s="287"/>
      <c r="G35" s="245"/>
    </row>
    <row r="36" spans="1:7">
      <c r="A36" s="260" t="s">
        <v>334</v>
      </c>
      <c r="B36" s="288"/>
      <c r="C36" s="288"/>
      <c r="D36" s="288"/>
      <c r="E36" s="288"/>
      <c r="F36" s="288"/>
      <c r="G36" s="245"/>
    </row>
    <row r="37" spans="1:7">
      <c r="A37" s="262" t="s">
        <v>394</v>
      </c>
      <c r="B37" s="284">
        <v>0.19129134299662776</v>
      </c>
      <c r="C37" s="284">
        <v>0.21993410708974187</v>
      </c>
      <c r="D37" s="284">
        <v>0.22456246174803013</v>
      </c>
      <c r="E37" s="284">
        <v>0.21313174107964458</v>
      </c>
      <c r="F37" s="284">
        <v>0.23566971312967758</v>
      </c>
      <c r="G37" s="245"/>
    </row>
    <row r="38" spans="1:7">
      <c r="A38" s="262" t="s">
        <v>100</v>
      </c>
      <c r="B38" s="284">
        <v>0.20220003034576825</v>
      </c>
      <c r="C38" s="284">
        <v>0.23725305804070698</v>
      </c>
      <c r="D38" s="284">
        <v>0.24554244544335807</v>
      </c>
      <c r="E38" s="284">
        <v>0.21299999999999999</v>
      </c>
      <c r="F38" s="284">
        <v>0.23599999999999999</v>
      </c>
      <c r="G38" s="245"/>
    </row>
    <row r="39" spans="1:7">
      <c r="A39" s="262" t="s">
        <v>109</v>
      </c>
      <c r="B39" s="284">
        <v>2.6668974791348443E-2</v>
      </c>
      <c r="C39" s="284">
        <v>3.146217992994424E-2</v>
      </c>
      <c r="D39" s="284">
        <v>2.9526189181871387E-2</v>
      </c>
      <c r="E39" s="284">
        <v>9.2437726771378848E-3</v>
      </c>
      <c r="F39" s="284">
        <v>0</v>
      </c>
      <c r="G39" s="245"/>
    </row>
    <row r="40" spans="1:7">
      <c r="A40" s="262" t="s">
        <v>379</v>
      </c>
      <c r="B40" s="284">
        <v>0.22886900513711669</v>
      </c>
      <c r="C40" s="284">
        <v>0.26871523797065122</v>
      </c>
      <c r="D40" s="284">
        <v>0.27506863462522946</v>
      </c>
      <c r="E40" s="284">
        <v>0.22224377267713788</v>
      </c>
      <c r="F40" s="284">
        <v>0.23599999999999999</v>
      </c>
      <c r="G40" s="245"/>
    </row>
    <row r="41" spans="1:7">
      <c r="A41" s="262" t="s">
        <v>360</v>
      </c>
      <c r="B41" s="284">
        <v>0.12541684259294192</v>
      </c>
      <c r="C41" s="284">
        <v>0.14663813289505809</v>
      </c>
      <c r="D41" s="284">
        <v>0.14504464168853545</v>
      </c>
      <c r="E41" s="284">
        <v>0.13479396017566023</v>
      </c>
      <c r="F41" s="284">
        <v>0.1543475647231029</v>
      </c>
      <c r="G41" s="245"/>
    </row>
    <row r="42" spans="1:7">
      <c r="A42" s="268"/>
      <c r="B42" s="268"/>
      <c r="C42" s="268"/>
      <c r="D42" s="268"/>
      <c r="E42" s="268"/>
      <c r="F42" s="268"/>
      <c r="G42" s="245"/>
    </row>
    <row r="43" spans="1:7">
      <c r="A43" s="270" t="s">
        <v>401</v>
      </c>
      <c r="B43" s="268"/>
      <c r="C43" s="268"/>
      <c r="D43" s="268"/>
      <c r="E43" s="268"/>
      <c r="F43" s="268"/>
      <c r="G43" s="245"/>
    </row>
    <row r="44" spans="1:7">
      <c r="A44" s="270"/>
      <c r="B44" s="268"/>
      <c r="C44" s="268"/>
      <c r="D44" s="268"/>
      <c r="E44" s="268"/>
      <c r="F44" s="268"/>
      <c r="G44" s="245"/>
    </row>
    <row r="45" spans="1:7">
      <c r="A45" s="245"/>
      <c r="B45" s="245"/>
      <c r="C45" s="245"/>
      <c r="D45" s="245"/>
      <c r="E45" s="245"/>
      <c r="F45" s="245"/>
      <c r="G45" s="245"/>
    </row>
    <row r="46" spans="1:7">
      <c r="A46" s="245"/>
      <c r="B46" s="245"/>
      <c r="C46" s="245"/>
      <c r="D46" s="245"/>
      <c r="E46" s="245"/>
      <c r="F46" s="245"/>
      <c r="G46" s="245"/>
    </row>
    <row r="47" spans="1:7">
      <c r="A47" s="245"/>
      <c r="B47" s="245"/>
      <c r="C47" s="245"/>
      <c r="D47" s="245"/>
      <c r="E47" s="245"/>
      <c r="F47" s="245"/>
      <c r="G47" s="245"/>
    </row>
    <row r="48" spans="1:7">
      <c r="A48" s="245"/>
      <c r="B48" s="245"/>
      <c r="C48" s="245"/>
      <c r="D48" s="245"/>
      <c r="E48" s="245"/>
      <c r="F48" s="245"/>
      <c r="G48" s="245"/>
    </row>
    <row r="49" spans="1:7">
      <c r="A49" s="245"/>
      <c r="B49" s="245"/>
      <c r="C49" s="245"/>
      <c r="D49" s="245"/>
      <c r="E49" s="245"/>
      <c r="F49" s="245"/>
      <c r="G49" s="245"/>
    </row>
    <row r="50" spans="1:7">
      <c r="A50" s="245"/>
      <c r="B50" s="245"/>
      <c r="C50" s="245"/>
      <c r="D50" s="245"/>
      <c r="E50" s="245"/>
      <c r="F50" s="245"/>
      <c r="G50" s="245"/>
    </row>
    <row r="51" spans="1:7">
      <c r="A51" s="245"/>
      <c r="B51" s="245"/>
      <c r="C51" s="245"/>
      <c r="D51" s="245"/>
      <c r="E51" s="245"/>
      <c r="F51" s="245"/>
    </row>
    <row r="52" spans="1:7">
      <c r="A52" s="245"/>
      <c r="B52" s="245"/>
      <c r="C52" s="245"/>
      <c r="D52" s="245"/>
      <c r="E52" s="245"/>
      <c r="F52" s="245"/>
    </row>
    <row r="53" spans="1:7">
      <c r="A53" s="245"/>
      <c r="B53" s="245"/>
      <c r="C53" s="245"/>
      <c r="D53" s="245"/>
      <c r="E53" s="245"/>
      <c r="F53" s="245"/>
    </row>
    <row r="54" spans="1:7">
      <c r="A54" s="245"/>
      <c r="B54" s="245"/>
      <c r="C54" s="245"/>
      <c r="D54" s="245"/>
      <c r="E54" s="245"/>
      <c r="F54" s="245"/>
    </row>
    <row r="55" spans="1:7">
      <c r="A55" s="245"/>
      <c r="B55" s="245"/>
      <c r="C55" s="245"/>
      <c r="D55" s="245"/>
      <c r="E55" s="245"/>
      <c r="F55" s="245"/>
    </row>
    <row r="56" spans="1:7">
      <c r="A56" s="245"/>
      <c r="B56" s="245"/>
      <c r="C56" s="245"/>
      <c r="D56" s="245"/>
      <c r="E56" s="245"/>
      <c r="F56" s="245"/>
    </row>
    <row r="57" spans="1:7">
      <c r="A57" s="245"/>
      <c r="B57" s="245"/>
      <c r="C57" s="245"/>
      <c r="D57" s="245"/>
      <c r="E57" s="245"/>
      <c r="F57" s="245"/>
    </row>
    <row r="58" spans="1:7">
      <c r="A58" s="245"/>
      <c r="B58" s="245"/>
      <c r="C58" s="245"/>
      <c r="D58" s="245"/>
      <c r="E58" s="245"/>
      <c r="F58" s="245"/>
    </row>
    <row r="59" spans="1:7">
      <c r="A59" s="245"/>
      <c r="B59" s="245"/>
      <c r="C59" s="245"/>
      <c r="D59" s="245"/>
      <c r="E59" s="245"/>
      <c r="F59" s="245"/>
    </row>
    <row r="60" spans="1:7">
      <c r="A60" s="245"/>
      <c r="B60" s="245"/>
      <c r="C60" s="245"/>
      <c r="D60" s="245"/>
      <c r="E60" s="245"/>
      <c r="F60" s="245"/>
    </row>
    <row r="61" spans="1:7">
      <c r="A61" s="245"/>
      <c r="B61" s="245"/>
      <c r="C61" s="245"/>
      <c r="D61" s="245"/>
      <c r="E61" s="245"/>
      <c r="F61" s="245"/>
    </row>
    <row r="62" spans="1:7">
      <c r="A62" s="245"/>
      <c r="B62" s="245"/>
      <c r="C62" s="245"/>
      <c r="D62" s="245"/>
      <c r="E62" s="245"/>
      <c r="F62" s="245"/>
    </row>
    <row r="63" spans="1:7">
      <c r="A63" s="245"/>
      <c r="B63" s="245"/>
      <c r="C63" s="245"/>
      <c r="D63" s="245"/>
      <c r="E63" s="245"/>
      <c r="F63" s="245"/>
    </row>
    <row r="64" spans="1:7">
      <c r="A64" s="245"/>
      <c r="B64" s="245"/>
      <c r="C64" s="245"/>
      <c r="D64" s="245"/>
      <c r="E64" s="245"/>
      <c r="F64" s="245"/>
    </row>
    <row r="65" spans="1:6">
      <c r="A65" s="245"/>
      <c r="B65" s="245"/>
      <c r="C65" s="245"/>
      <c r="D65" s="245"/>
      <c r="E65" s="245"/>
      <c r="F65" s="245"/>
    </row>
    <row r="66" spans="1:6">
      <c r="A66" s="245"/>
      <c r="B66" s="245"/>
      <c r="C66" s="245"/>
      <c r="D66" s="245"/>
      <c r="E66" s="245"/>
      <c r="F66" s="245"/>
    </row>
    <row r="67" spans="1:6">
      <c r="A67" s="245"/>
      <c r="B67" s="245"/>
      <c r="C67" s="245"/>
      <c r="D67" s="245"/>
      <c r="E67" s="245"/>
      <c r="F67" s="245"/>
    </row>
    <row r="68" spans="1:6">
      <c r="A68" s="245"/>
      <c r="B68" s="245"/>
      <c r="C68" s="245"/>
      <c r="D68" s="245"/>
      <c r="E68" s="245"/>
      <c r="F68" s="245"/>
    </row>
    <row r="69" spans="1:6">
      <c r="A69" s="245"/>
      <c r="B69" s="245"/>
      <c r="C69" s="245"/>
      <c r="D69" s="245"/>
      <c r="E69" s="245"/>
      <c r="F69" s="245"/>
    </row>
    <row r="70" spans="1:6">
      <c r="A70" s="245"/>
      <c r="B70" s="245"/>
      <c r="C70" s="245"/>
      <c r="D70" s="245"/>
      <c r="E70" s="245"/>
      <c r="F70" s="245"/>
    </row>
    <row r="71" spans="1:6">
      <c r="A71" s="245"/>
      <c r="B71" s="245"/>
      <c r="C71" s="245"/>
      <c r="D71" s="245"/>
      <c r="E71" s="245"/>
      <c r="F71" s="245"/>
    </row>
    <row r="72" spans="1:6">
      <c r="A72" s="245"/>
      <c r="B72" s="245"/>
      <c r="C72" s="245"/>
      <c r="D72" s="245"/>
      <c r="E72" s="245"/>
      <c r="F72" s="245"/>
    </row>
    <row r="73" spans="1:6">
      <c r="A73" s="245"/>
      <c r="B73" s="245"/>
      <c r="C73" s="245"/>
      <c r="D73" s="245"/>
      <c r="E73" s="245"/>
      <c r="F73" s="245"/>
    </row>
    <row r="74" spans="1:6">
      <c r="A74" s="245"/>
      <c r="B74" s="245"/>
      <c r="C74" s="245"/>
      <c r="D74" s="245"/>
      <c r="E74" s="245"/>
      <c r="F74" s="245"/>
    </row>
    <row r="75" spans="1:6">
      <c r="A75" s="245"/>
      <c r="B75" s="245"/>
      <c r="C75" s="245"/>
      <c r="D75" s="245"/>
      <c r="E75" s="245"/>
      <c r="F75" s="245"/>
    </row>
    <row r="76" spans="1:6">
      <c r="A76" s="245"/>
      <c r="B76" s="245"/>
      <c r="C76" s="245"/>
      <c r="D76" s="245"/>
      <c r="E76" s="245"/>
      <c r="F76" s="245"/>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31.03.2022&amp;C&amp;8&amp;P&amp;R&amp;8______________________________________________________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C"/>
    <pageSetUpPr fitToPage="1"/>
  </sheetPr>
  <dimension ref="A1:L48"/>
  <sheetViews>
    <sheetView zoomScaleNormal="100" workbookViewId="0"/>
  </sheetViews>
  <sheetFormatPr defaultColWidth="9.140625" defaultRowHeight="14.25"/>
  <cols>
    <col min="1" max="1" width="51" style="268" bestFit="1" customWidth="1"/>
    <col min="2" max="16384" width="9.140625" style="268"/>
  </cols>
  <sheetData>
    <row r="1" spans="1:12" ht="27.75" customHeight="1">
      <c r="A1" s="254" t="s">
        <v>325</v>
      </c>
      <c r="B1" s="283">
        <v>0</v>
      </c>
      <c r="C1" s="283">
        <v>4</v>
      </c>
      <c r="D1" s="283">
        <v>8</v>
      </c>
      <c r="E1" s="283">
        <v>12</v>
      </c>
      <c r="F1" s="283">
        <v>16</v>
      </c>
    </row>
    <row r="2" spans="1:12">
      <c r="A2" s="256" t="s">
        <v>315</v>
      </c>
      <c r="B2" s="257" t="s">
        <v>445</v>
      </c>
      <c r="C2" s="257" t="s">
        <v>437</v>
      </c>
      <c r="D2" s="257" t="s">
        <v>274</v>
      </c>
      <c r="E2" s="257" t="s">
        <v>271</v>
      </c>
      <c r="F2" s="257" t="s">
        <v>270</v>
      </c>
    </row>
    <row r="3" spans="1:12">
      <c r="A3" s="258"/>
      <c r="B3" s="259"/>
      <c r="C3" s="259"/>
      <c r="D3" s="259"/>
      <c r="E3" s="259"/>
      <c r="F3" s="259"/>
    </row>
    <row r="4" spans="1:12">
      <c r="A4" s="262" t="s">
        <v>81</v>
      </c>
      <c r="B4" s="289">
        <v>17526</v>
      </c>
      <c r="C4" s="290">
        <v>11779</v>
      </c>
      <c r="D4" s="290">
        <v>12044</v>
      </c>
      <c r="E4" s="290">
        <v>14684</v>
      </c>
      <c r="F4" s="290">
        <v>14044</v>
      </c>
    </row>
    <row r="5" spans="1:12">
      <c r="A5" s="262" t="s">
        <v>82</v>
      </c>
      <c r="B5" s="291">
        <v>-7998</v>
      </c>
      <c r="C5" s="291">
        <v>-4437</v>
      </c>
      <c r="D5" s="291">
        <v>-4791</v>
      </c>
      <c r="E5" s="291">
        <v>-7250</v>
      </c>
      <c r="F5" s="291">
        <v>-7217</v>
      </c>
    </row>
    <row r="6" spans="1:12">
      <c r="A6" s="260" t="s">
        <v>0</v>
      </c>
      <c r="B6" s="310">
        <v>9528</v>
      </c>
      <c r="C6" s="310">
        <v>7342</v>
      </c>
      <c r="D6" s="310">
        <v>7253</v>
      </c>
      <c r="E6" s="310">
        <v>7434</v>
      </c>
      <c r="F6" s="310">
        <v>6827</v>
      </c>
    </row>
    <row r="7" spans="1:12">
      <c r="A7" s="262" t="s">
        <v>317</v>
      </c>
      <c r="B7" s="290">
        <v>4068</v>
      </c>
      <c r="C7" s="290">
        <v>3726</v>
      </c>
      <c r="D7" s="290">
        <v>3481</v>
      </c>
      <c r="E7" s="290">
        <v>2630</v>
      </c>
      <c r="F7" s="290">
        <v>2575</v>
      </c>
    </row>
    <row r="8" spans="1:12">
      <c r="A8" s="262" t="s">
        <v>318</v>
      </c>
      <c r="B8" s="291">
        <v>-516</v>
      </c>
      <c r="C8" s="291">
        <v>-449</v>
      </c>
      <c r="D8" s="291">
        <v>-405</v>
      </c>
      <c r="E8" s="291">
        <v>-412</v>
      </c>
      <c r="F8" s="291">
        <v>-370</v>
      </c>
    </row>
    <row r="9" spans="1:12">
      <c r="A9" s="260" t="s">
        <v>316</v>
      </c>
      <c r="B9" s="310">
        <v>3552</v>
      </c>
      <c r="C9" s="310">
        <v>3277</v>
      </c>
      <c r="D9" s="310">
        <v>3076</v>
      </c>
      <c r="E9" s="310">
        <v>2218</v>
      </c>
      <c r="F9" s="310">
        <v>2205</v>
      </c>
    </row>
    <row r="10" spans="1:12">
      <c r="A10" s="262" t="s">
        <v>391</v>
      </c>
      <c r="B10" s="290">
        <v>5</v>
      </c>
      <c r="C10" s="290">
        <v>671</v>
      </c>
      <c r="D10" s="290">
        <v>501</v>
      </c>
      <c r="E10" s="290">
        <v>766</v>
      </c>
      <c r="F10" s="290">
        <v>1387</v>
      </c>
      <c r="H10" s="269"/>
      <c r="I10" s="269"/>
    </row>
    <row r="11" spans="1:12">
      <c r="A11" s="262" t="s">
        <v>427</v>
      </c>
      <c r="B11" s="290">
        <v>991</v>
      </c>
      <c r="C11" s="290">
        <v>1500</v>
      </c>
      <c r="D11" s="290">
        <v>-2000</v>
      </c>
      <c r="E11" s="290">
        <v>253</v>
      </c>
      <c r="F11" s="290">
        <v>143</v>
      </c>
    </row>
    <row r="12" spans="1:12">
      <c r="A12" s="262" t="s">
        <v>428</v>
      </c>
      <c r="B12" s="290">
        <v>203</v>
      </c>
      <c r="C12" s="290">
        <v>1</v>
      </c>
      <c r="D12" s="290">
        <v>-24</v>
      </c>
      <c r="E12" s="290">
        <v>727</v>
      </c>
      <c r="F12" s="290">
        <v>-18</v>
      </c>
    </row>
    <row r="13" spans="1:12">
      <c r="A13" s="262" t="s">
        <v>10</v>
      </c>
      <c r="B13" s="291">
        <v>235</v>
      </c>
      <c r="C13" s="291">
        <v>306</v>
      </c>
      <c r="D13" s="291">
        <v>170</v>
      </c>
      <c r="E13" s="291">
        <v>310</v>
      </c>
      <c r="F13" s="291">
        <v>268</v>
      </c>
    </row>
    <row r="14" spans="1:12">
      <c r="A14" s="260" t="s">
        <v>429</v>
      </c>
      <c r="B14" s="310">
        <v>1434</v>
      </c>
      <c r="C14" s="310">
        <v>2478</v>
      </c>
      <c r="D14" s="310">
        <v>-1353</v>
      </c>
      <c r="E14" s="310">
        <v>2056</v>
      </c>
      <c r="F14" s="310">
        <v>1780</v>
      </c>
    </row>
    <row r="15" spans="1:12">
      <c r="A15" s="260" t="s">
        <v>4</v>
      </c>
      <c r="B15" s="313">
        <v>14514</v>
      </c>
      <c r="C15" s="313">
        <v>13097</v>
      </c>
      <c r="D15" s="313">
        <v>8976</v>
      </c>
      <c r="E15" s="313">
        <v>11708</v>
      </c>
      <c r="F15" s="313">
        <v>10812</v>
      </c>
    </row>
    <row r="16" spans="1:12" ht="18" customHeight="1">
      <c r="A16" s="262" t="s">
        <v>313</v>
      </c>
      <c r="B16" s="290">
        <v>-3540</v>
      </c>
      <c r="C16" s="290">
        <v>-3271</v>
      </c>
      <c r="D16" s="290">
        <v>-3130</v>
      </c>
      <c r="E16" s="290">
        <v>-3630</v>
      </c>
      <c r="F16" s="290">
        <v>-3616</v>
      </c>
      <c r="G16" s="272"/>
      <c r="H16" s="272"/>
      <c r="I16" s="272"/>
      <c r="J16" s="272"/>
      <c r="K16" s="272"/>
      <c r="L16" s="272"/>
    </row>
    <row r="17" spans="1:9">
      <c r="A17" s="262" t="s">
        <v>6</v>
      </c>
      <c r="B17" s="291">
        <v>-2661</v>
      </c>
      <c r="C17" s="291">
        <v>-2777</v>
      </c>
      <c r="D17" s="291">
        <v>-3077</v>
      </c>
      <c r="E17" s="291">
        <v>-3232</v>
      </c>
      <c r="F17" s="291">
        <v>-3143</v>
      </c>
    </row>
    <row r="18" spans="1:9">
      <c r="A18" s="260" t="s">
        <v>283</v>
      </c>
      <c r="B18" s="310">
        <v>-6201</v>
      </c>
      <c r="C18" s="310">
        <v>-6048</v>
      </c>
      <c r="D18" s="310">
        <v>-6207</v>
      </c>
      <c r="E18" s="310">
        <v>-6862</v>
      </c>
      <c r="F18" s="310">
        <v>-6759</v>
      </c>
    </row>
    <row r="19" spans="1:9">
      <c r="A19" s="262" t="s">
        <v>39</v>
      </c>
      <c r="B19" s="290">
        <v>-393</v>
      </c>
      <c r="C19" s="290">
        <v>-330</v>
      </c>
      <c r="D19" s="290">
        <v>-331</v>
      </c>
      <c r="E19" s="290">
        <v>-906</v>
      </c>
      <c r="F19" s="290">
        <v>-804</v>
      </c>
    </row>
    <row r="20" spans="1:9">
      <c r="A20" s="262" t="s">
        <v>319</v>
      </c>
      <c r="B20" s="291">
        <v>-495</v>
      </c>
      <c r="C20" s="291">
        <v>1080</v>
      </c>
      <c r="D20" s="291">
        <v>-2860</v>
      </c>
      <c r="E20" s="291">
        <v>-1081</v>
      </c>
      <c r="F20" s="291">
        <v>-135</v>
      </c>
    </row>
    <row r="21" spans="1:9">
      <c r="A21" s="260" t="s">
        <v>430</v>
      </c>
      <c r="B21" s="311">
        <v>7425</v>
      </c>
      <c r="C21" s="311">
        <v>7799</v>
      </c>
      <c r="D21" s="311">
        <v>-422</v>
      </c>
      <c r="E21" s="311">
        <v>2859</v>
      </c>
      <c r="F21" s="311">
        <v>3114</v>
      </c>
    </row>
    <row r="22" spans="1:9" ht="18" customHeight="1">
      <c r="A22" s="262" t="s">
        <v>395</v>
      </c>
      <c r="B22" s="291">
        <v>-1703</v>
      </c>
      <c r="C22" s="291">
        <v>-1866</v>
      </c>
      <c r="D22" s="291">
        <v>-860</v>
      </c>
      <c r="E22" s="291">
        <v>-622</v>
      </c>
      <c r="F22" s="291">
        <v>-890</v>
      </c>
    </row>
    <row r="23" spans="1:9" s="274" customFormat="1" ht="15">
      <c r="A23" s="260" t="s">
        <v>431</v>
      </c>
      <c r="B23" s="312">
        <v>5722</v>
      </c>
      <c r="C23" s="312">
        <v>5933</v>
      </c>
      <c r="D23" s="312">
        <v>-1282</v>
      </c>
      <c r="E23" s="312">
        <v>2237</v>
      </c>
      <c r="F23" s="312">
        <v>2224</v>
      </c>
      <c r="G23" s="273"/>
      <c r="H23" s="273"/>
    </row>
    <row r="24" spans="1:9">
      <c r="A24" s="262" t="s">
        <v>432</v>
      </c>
      <c r="B24" s="291">
        <v>96</v>
      </c>
      <c r="C24" s="291">
        <v>106</v>
      </c>
      <c r="D24" s="291">
        <v>-889</v>
      </c>
      <c r="E24" s="291">
        <v>-1219</v>
      </c>
      <c r="F24" s="291">
        <v>-273</v>
      </c>
    </row>
    <row r="25" spans="1:9">
      <c r="A25" s="260" t="s">
        <v>433</v>
      </c>
      <c r="B25" s="311">
        <v>5818</v>
      </c>
      <c r="C25" s="311">
        <v>6039</v>
      </c>
      <c r="D25" s="311">
        <v>-2171</v>
      </c>
      <c r="E25" s="311">
        <v>1018</v>
      </c>
      <c r="F25" s="311">
        <v>1951</v>
      </c>
    </row>
    <row r="26" spans="1:9" ht="1.5" customHeight="1">
      <c r="A26" s="260"/>
      <c r="B26" s="292"/>
      <c r="C26" s="292"/>
      <c r="D26" s="292"/>
      <c r="E26" s="292"/>
      <c r="F26" s="292"/>
    </row>
    <row r="27" spans="1:9">
      <c r="A27" s="276"/>
      <c r="B27" s="290"/>
      <c r="C27" s="290"/>
      <c r="D27" s="290"/>
      <c r="E27" s="290"/>
      <c r="F27" s="290"/>
      <c r="I27" s="272"/>
    </row>
    <row r="28" spans="1:9">
      <c r="A28" s="260" t="s">
        <v>320</v>
      </c>
      <c r="B28" s="290"/>
      <c r="C28" s="290"/>
      <c r="D28" s="290"/>
      <c r="E28" s="290"/>
      <c r="F28" s="290"/>
    </row>
    <row r="29" spans="1:9">
      <c r="A29" s="262" t="s">
        <v>94</v>
      </c>
      <c r="B29" s="285">
        <v>5812</v>
      </c>
      <c r="C29" s="285">
        <v>6038</v>
      </c>
      <c r="D29" s="285">
        <v>-2167</v>
      </c>
      <c r="E29" s="285">
        <v>1018</v>
      </c>
      <c r="F29" s="285">
        <v>1951</v>
      </c>
    </row>
    <row r="30" spans="1:9">
      <c r="A30" s="262" t="s">
        <v>321</v>
      </c>
      <c r="B30" s="291">
        <v>6</v>
      </c>
      <c r="C30" s="291">
        <v>1</v>
      </c>
      <c r="D30" s="291">
        <v>-4</v>
      </c>
      <c r="E30" s="291">
        <v>0</v>
      </c>
      <c r="F30" s="291">
        <v>0</v>
      </c>
    </row>
    <row r="31" spans="1:9">
      <c r="A31" s="260" t="s">
        <v>385</v>
      </c>
      <c r="B31" s="311">
        <v>5818</v>
      </c>
      <c r="C31" s="311">
        <v>6039</v>
      </c>
      <c r="D31" s="311">
        <v>-2171</v>
      </c>
      <c r="E31" s="311">
        <v>1018</v>
      </c>
      <c r="F31" s="311">
        <v>1951</v>
      </c>
      <c r="G31" s="272"/>
    </row>
    <row r="32" spans="1:9">
      <c r="A32" s="260"/>
      <c r="B32" s="290"/>
      <c r="C32" s="290"/>
      <c r="D32" s="290"/>
      <c r="E32" s="290"/>
      <c r="F32" s="290"/>
    </row>
    <row r="33" spans="1:6">
      <c r="A33" s="260" t="s">
        <v>332</v>
      </c>
      <c r="B33" s="290"/>
      <c r="C33" s="290"/>
      <c r="D33" s="290"/>
      <c r="E33" s="290"/>
      <c r="F33" s="290"/>
    </row>
    <row r="34" spans="1:6">
      <c r="A34" s="262" t="s">
        <v>323</v>
      </c>
      <c r="B34" s="290"/>
      <c r="C34" s="290"/>
      <c r="D34" s="290"/>
      <c r="E34" s="290"/>
      <c r="F34" s="290"/>
    </row>
    <row r="35" spans="1:6">
      <c r="A35" s="262" t="s">
        <v>324</v>
      </c>
      <c r="B35" s="293">
        <v>3.67</v>
      </c>
      <c r="C35" s="293">
        <v>3.61</v>
      </c>
      <c r="D35" s="293">
        <v>-1.25</v>
      </c>
      <c r="E35" s="293">
        <v>0.56146079479051647</v>
      </c>
      <c r="F35" s="293">
        <v>1.01</v>
      </c>
    </row>
    <row r="39" spans="1:6">
      <c r="A39" s="260"/>
      <c r="B39" s="261"/>
      <c r="C39" s="261"/>
      <c r="D39" s="261"/>
      <c r="E39" s="261"/>
      <c r="F39" s="261"/>
    </row>
    <row r="40" spans="1:6">
      <c r="B40" s="261"/>
      <c r="C40" s="261"/>
      <c r="D40" s="261"/>
      <c r="E40" s="261"/>
      <c r="F40" s="261"/>
    </row>
    <row r="41" spans="1:6">
      <c r="B41" s="261"/>
      <c r="C41" s="261"/>
      <c r="D41" s="261"/>
      <c r="E41" s="261"/>
      <c r="F41" s="261"/>
    </row>
    <row r="42" spans="1:6">
      <c r="B42" s="261"/>
      <c r="C42" s="261"/>
      <c r="D42" s="261"/>
      <c r="E42" s="261"/>
      <c r="F42" s="261"/>
    </row>
    <row r="43" spans="1:6">
      <c r="B43" s="261"/>
      <c r="C43" s="261"/>
      <c r="D43" s="261"/>
      <c r="E43" s="261"/>
      <c r="F43" s="261"/>
    </row>
    <row r="44" spans="1:6">
      <c r="B44" s="261"/>
      <c r="C44" s="261"/>
      <c r="D44" s="261"/>
      <c r="E44" s="261"/>
      <c r="F44" s="261"/>
    </row>
    <row r="45" spans="1:6">
      <c r="B45" s="261"/>
      <c r="C45" s="261"/>
      <c r="D45" s="261"/>
      <c r="E45" s="261"/>
      <c r="F45" s="261"/>
    </row>
    <row r="46" spans="1:6">
      <c r="B46" s="261"/>
      <c r="C46" s="261"/>
      <c r="D46" s="261"/>
      <c r="E46" s="261"/>
      <c r="F46" s="261"/>
    </row>
    <row r="47" spans="1:6">
      <c r="B47" s="261"/>
      <c r="C47" s="261"/>
      <c r="D47" s="261"/>
      <c r="E47" s="261"/>
      <c r="F47" s="261"/>
    </row>
    <row r="48" spans="1:6">
      <c r="B48" s="261"/>
      <c r="C48" s="261"/>
      <c r="D48" s="261"/>
      <c r="E48" s="261"/>
      <c r="F48" s="261"/>
    </row>
  </sheetData>
  <pageMargins left="0.70866141732283472" right="0.70866141732283472" top="0.74803149606299213" bottom="0.74803149606299213" header="0.31496062992125984" footer="0.31496062992125984"/>
  <pageSetup paperSize="9" scale="90" firstPageNumber="3" orientation="portrait" useFirstPageNumber="1" r:id="rId1"/>
  <headerFooter>
    <oddFooter>&amp;L&amp;"-,Italic"&amp;8______________________________________________________
Arion Bank Factbook 31.03.2022&amp;C&amp;8&amp;P&amp;R&amp;8______________________________________________________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C"/>
    <pageSetUpPr fitToPage="1"/>
  </sheetPr>
  <dimension ref="A1:U56"/>
  <sheetViews>
    <sheetView zoomScaleNormal="100" workbookViewId="0"/>
  </sheetViews>
  <sheetFormatPr defaultColWidth="9.140625" defaultRowHeight="14.25"/>
  <cols>
    <col min="1" max="1" width="44.7109375" style="268" customWidth="1"/>
    <col min="2" max="6" width="10.28515625" style="268" customWidth="1"/>
    <col min="7" max="10" width="9.140625" style="268"/>
    <col min="11" max="11" width="9.28515625" style="268" customWidth="1"/>
    <col min="12" max="16384" width="9.140625" style="268"/>
  </cols>
  <sheetData>
    <row r="1" spans="1:21" ht="27.75" customHeight="1">
      <c r="A1" s="254" t="s">
        <v>327</v>
      </c>
      <c r="B1" s="283">
        <v>0</v>
      </c>
      <c r="C1" s="283">
        <v>1</v>
      </c>
      <c r="D1" s="283">
        <v>5</v>
      </c>
      <c r="E1" s="283">
        <v>9</v>
      </c>
      <c r="F1" s="283">
        <v>13</v>
      </c>
    </row>
    <row r="2" spans="1:21">
      <c r="A2" s="256" t="s">
        <v>315</v>
      </c>
      <c r="B2" s="314">
        <v>44651</v>
      </c>
      <c r="C2" s="314">
        <v>44561</v>
      </c>
      <c r="D2" s="314">
        <v>44196</v>
      </c>
      <c r="E2" s="314">
        <v>43830</v>
      </c>
      <c r="F2" s="314">
        <v>43465</v>
      </c>
    </row>
    <row r="3" spans="1:21">
      <c r="A3" s="258"/>
      <c r="B3" s="259"/>
      <c r="C3" s="259"/>
      <c r="D3" s="259"/>
      <c r="E3" s="259"/>
      <c r="F3" s="259"/>
    </row>
    <row r="4" spans="1:21">
      <c r="A4" s="260" t="s">
        <v>99</v>
      </c>
      <c r="B4" s="261"/>
      <c r="C4" s="261"/>
      <c r="D4" s="261"/>
      <c r="E4" s="261"/>
      <c r="F4" s="261"/>
    </row>
    <row r="5" spans="1:21">
      <c r="A5" s="262" t="s">
        <v>328</v>
      </c>
      <c r="B5" s="285">
        <v>64395</v>
      </c>
      <c r="C5" s="285">
        <v>69057</v>
      </c>
      <c r="D5" s="285">
        <v>42136</v>
      </c>
      <c r="E5" s="285">
        <v>95717</v>
      </c>
      <c r="F5" s="285">
        <v>83139</v>
      </c>
      <c r="U5" s="272"/>
    </row>
    <row r="6" spans="1:21">
      <c r="A6" s="262" t="s">
        <v>23</v>
      </c>
      <c r="B6" s="285">
        <v>35868</v>
      </c>
      <c r="C6" s="285">
        <v>30272</v>
      </c>
      <c r="D6" s="285">
        <v>28235</v>
      </c>
      <c r="E6" s="285">
        <v>17947</v>
      </c>
      <c r="F6" s="285">
        <v>56322</v>
      </c>
      <c r="U6" s="272"/>
    </row>
    <row r="7" spans="1:21">
      <c r="A7" s="262" t="s">
        <v>24</v>
      </c>
      <c r="B7" s="285">
        <v>976383</v>
      </c>
      <c r="C7" s="285">
        <v>936237</v>
      </c>
      <c r="D7" s="285">
        <v>822941</v>
      </c>
      <c r="E7" s="285">
        <v>773955</v>
      </c>
      <c r="F7" s="285">
        <v>833826</v>
      </c>
      <c r="U7" s="272"/>
    </row>
    <row r="8" spans="1:21">
      <c r="A8" s="262" t="s">
        <v>282</v>
      </c>
      <c r="B8" s="285">
        <v>185680</v>
      </c>
      <c r="C8" s="285">
        <v>225657</v>
      </c>
      <c r="D8" s="285">
        <v>227251</v>
      </c>
      <c r="E8" s="285">
        <v>117406</v>
      </c>
      <c r="F8" s="285">
        <v>114557</v>
      </c>
      <c r="I8" s="272"/>
      <c r="U8" s="272"/>
    </row>
    <row r="9" spans="1:21">
      <c r="A9" s="262" t="s">
        <v>107</v>
      </c>
      <c r="B9" s="285">
        <v>6586</v>
      </c>
      <c r="C9" s="285">
        <v>6560</v>
      </c>
      <c r="D9" s="285">
        <v>6132</v>
      </c>
      <c r="E9" s="285">
        <v>7119</v>
      </c>
      <c r="F9" s="285">
        <v>7092</v>
      </c>
      <c r="U9" s="272"/>
    </row>
    <row r="10" spans="1:21">
      <c r="A10" s="262" t="s">
        <v>19</v>
      </c>
      <c r="B10" s="285">
        <v>700</v>
      </c>
      <c r="C10" s="285">
        <v>668</v>
      </c>
      <c r="D10" s="285">
        <v>891</v>
      </c>
      <c r="E10" s="285">
        <v>852</v>
      </c>
      <c r="F10" s="285">
        <v>818</v>
      </c>
      <c r="U10" s="272"/>
    </row>
    <row r="11" spans="1:21">
      <c r="A11" s="262" t="s">
        <v>17</v>
      </c>
      <c r="B11" s="285">
        <v>9239</v>
      </c>
      <c r="C11" s="285">
        <v>9463</v>
      </c>
      <c r="D11" s="285">
        <v>9689</v>
      </c>
      <c r="E11" s="285">
        <v>8367</v>
      </c>
      <c r="F11" s="285">
        <v>6397</v>
      </c>
      <c r="U11" s="272"/>
    </row>
    <row r="12" spans="1:21">
      <c r="A12" s="262" t="s">
        <v>106</v>
      </c>
      <c r="B12" s="285">
        <v>754</v>
      </c>
      <c r="C12" s="285">
        <v>2</v>
      </c>
      <c r="D12" s="285">
        <v>2</v>
      </c>
      <c r="E12" s="285">
        <v>2</v>
      </c>
      <c r="F12" s="285">
        <v>90</v>
      </c>
      <c r="U12" s="272"/>
    </row>
    <row r="13" spans="1:21">
      <c r="A13" s="262" t="s">
        <v>403</v>
      </c>
      <c r="B13" s="285">
        <v>14706</v>
      </c>
      <c r="C13" s="285">
        <v>16047</v>
      </c>
      <c r="D13" s="285">
        <v>16811</v>
      </c>
      <c r="E13" s="285">
        <v>43626</v>
      </c>
      <c r="F13" s="285">
        <v>48584</v>
      </c>
      <c r="M13" s="276"/>
      <c r="U13" s="272"/>
    </row>
    <row r="14" spans="1:21" s="274" customFormat="1" ht="15">
      <c r="A14" s="262" t="s">
        <v>18</v>
      </c>
      <c r="B14" s="291">
        <v>46704</v>
      </c>
      <c r="C14" s="291">
        <v>19901</v>
      </c>
      <c r="D14" s="291">
        <v>18618</v>
      </c>
      <c r="E14" s="291">
        <v>16864</v>
      </c>
      <c r="F14" s="291">
        <v>13502</v>
      </c>
      <c r="K14" s="268"/>
      <c r="M14" s="260"/>
      <c r="U14" s="272"/>
    </row>
    <row r="15" spans="1:21">
      <c r="A15" s="260" t="s">
        <v>15</v>
      </c>
      <c r="B15" s="310">
        <v>1341015</v>
      </c>
      <c r="C15" s="310">
        <v>1313864</v>
      </c>
      <c r="D15" s="310">
        <v>1172706</v>
      </c>
      <c r="E15" s="310">
        <v>1081855</v>
      </c>
      <c r="F15" s="310">
        <v>1164327</v>
      </c>
      <c r="M15" s="276"/>
      <c r="U15" s="272"/>
    </row>
    <row r="16" spans="1:21" ht="1.5" customHeight="1">
      <c r="A16" s="260"/>
      <c r="B16" s="291"/>
      <c r="C16" s="291"/>
      <c r="D16" s="291"/>
      <c r="E16" s="291"/>
      <c r="F16" s="291"/>
      <c r="M16" s="276"/>
    </row>
    <row r="17" spans="1:13">
      <c r="A17" s="277"/>
      <c r="B17" s="285"/>
      <c r="C17" s="285"/>
      <c r="D17" s="285"/>
      <c r="E17" s="285"/>
      <c r="F17" s="285"/>
      <c r="M17" s="276"/>
    </row>
    <row r="18" spans="1:13">
      <c r="A18" s="260" t="s">
        <v>367</v>
      </c>
      <c r="B18" s="285"/>
      <c r="C18" s="285"/>
      <c r="D18" s="285"/>
      <c r="E18" s="285"/>
      <c r="F18" s="285"/>
      <c r="M18" s="276"/>
    </row>
    <row r="19" spans="1:13">
      <c r="A19" s="262" t="s">
        <v>329</v>
      </c>
      <c r="B19" s="285">
        <v>4270</v>
      </c>
      <c r="C19" s="285">
        <v>5000</v>
      </c>
      <c r="D19" s="296">
        <v>13031</v>
      </c>
      <c r="E19" s="285">
        <v>5984</v>
      </c>
      <c r="F19" s="285">
        <v>9204</v>
      </c>
      <c r="M19" s="276"/>
    </row>
    <row r="20" spans="1:13">
      <c r="A20" s="262" t="s">
        <v>14</v>
      </c>
      <c r="B20" s="285">
        <v>679925</v>
      </c>
      <c r="C20" s="285">
        <v>655476</v>
      </c>
      <c r="D20" s="296">
        <v>568424</v>
      </c>
      <c r="E20" s="285">
        <v>492916</v>
      </c>
      <c r="F20" s="285">
        <v>466067</v>
      </c>
      <c r="I20" s="272"/>
      <c r="M20" s="276"/>
    </row>
    <row r="21" spans="1:13">
      <c r="A21" s="262" t="s">
        <v>311</v>
      </c>
      <c r="B21" s="285">
        <v>12323</v>
      </c>
      <c r="C21" s="285">
        <v>5877</v>
      </c>
      <c r="D21" s="296">
        <v>5240</v>
      </c>
      <c r="E21" s="285">
        <v>2570</v>
      </c>
      <c r="F21" s="285">
        <v>2320</v>
      </c>
      <c r="M21" s="276"/>
    </row>
    <row r="22" spans="1:13">
      <c r="A22" s="262" t="s">
        <v>108</v>
      </c>
      <c r="B22" s="285">
        <v>8080</v>
      </c>
      <c r="C22" s="285">
        <v>7102</v>
      </c>
      <c r="D22" s="296">
        <v>4262</v>
      </c>
      <c r="E22" s="285">
        <v>4404</v>
      </c>
      <c r="F22" s="285">
        <v>5119</v>
      </c>
      <c r="M22" s="276"/>
    </row>
    <row r="23" spans="1:13" s="245" customFormat="1" ht="15">
      <c r="A23" s="262" t="s">
        <v>402</v>
      </c>
      <c r="B23" s="285">
        <v>15122</v>
      </c>
      <c r="C23" s="285">
        <v>16935</v>
      </c>
      <c r="D23" s="296">
        <v>16183</v>
      </c>
      <c r="E23" s="285">
        <v>28631</v>
      </c>
      <c r="F23" s="285">
        <v>26337</v>
      </c>
    </row>
    <row r="24" spans="1:13">
      <c r="A24" s="262" t="s">
        <v>20</v>
      </c>
      <c r="B24" s="285">
        <v>44582</v>
      </c>
      <c r="C24" s="285">
        <v>37151</v>
      </c>
      <c r="D24" s="296">
        <v>32714</v>
      </c>
      <c r="E24" s="285">
        <v>32697</v>
      </c>
      <c r="F24" s="285">
        <v>30107</v>
      </c>
      <c r="M24" s="276"/>
    </row>
    <row r="25" spans="1:13">
      <c r="A25" s="262" t="s">
        <v>11</v>
      </c>
      <c r="B25" s="285">
        <v>370026</v>
      </c>
      <c r="C25" s="285">
        <v>356637</v>
      </c>
      <c r="D25" s="296">
        <v>298947</v>
      </c>
      <c r="E25" s="285">
        <v>304745</v>
      </c>
      <c r="F25" s="285">
        <v>417782</v>
      </c>
    </row>
    <row r="26" spans="1:13">
      <c r="A26" s="262" t="s">
        <v>357</v>
      </c>
      <c r="B26" s="291">
        <v>33674</v>
      </c>
      <c r="C26" s="291">
        <v>35088</v>
      </c>
      <c r="D26" s="297">
        <v>36060</v>
      </c>
      <c r="E26" s="291">
        <v>20083</v>
      </c>
      <c r="F26" s="291">
        <v>6532</v>
      </c>
    </row>
    <row r="27" spans="1:13">
      <c r="A27" s="260" t="s">
        <v>368</v>
      </c>
      <c r="B27" s="310">
        <v>1168002</v>
      </c>
      <c r="C27" s="310">
        <v>1119266</v>
      </c>
      <c r="D27" s="316">
        <v>974861</v>
      </c>
      <c r="E27" s="310">
        <v>892030</v>
      </c>
      <c r="F27" s="310">
        <v>963468</v>
      </c>
    </row>
    <row r="28" spans="1:13">
      <c r="A28" s="276"/>
      <c r="B28" s="285"/>
      <c r="C28" s="285"/>
      <c r="D28" s="285"/>
      <c r="E28" s="285"/>
      <c r="F28" s="285"/>
    </row>
    <row r="29" spans="1:13">
      <c r="A29" s="260" t="s">
        <v>21</v>
      </c>
      <c r="B29" s="285"/>
      <c r="C29" s="285"/>
      <c r="D29" s="285"/>
      <c r="E29" s="285"/>
      <c r="F29" s="285"/>
    </row>
    <row r="30" spans="1:13">
      <c r="A30" s="262" t="s">
        <v>353</v>
      </c>
      <c r="B30" s="285">
        <v>18955</v>
      </c>
      <c r="C30" s="285">
        <v>22684</v>
      </c>
      <c r="D30" s="285">
        <v>51331</v>
      </c>
      <c r="E30" s="285">
        <v>55715</v>
      </c>
      <c r="F30" s="285">
        <v>59010</v>
      </c>
    </row>
    <row r="31" spans="1:13">
      <c r="A31" s="262" t="s">
        <v>354</v>
      </c>
      <c r="B31" s="285">
        <v>11631</v>
      </c>
      <c r="C31" s="285">
        <v>12838</v>
      </c>
      <c r="D31" s="285">
        <v>11320</v>
      </c>
      <c r="E31" s="285">
        <v>9493</v>
      </c>
      <c r="F31" s="285">
        <v>14822</v>
      </c>
    </row>
    <row r="32" spans="1:13">
      <c r="A32" s="262" t="s">
        <v>355</v>
      </c>
      <c r="B32" s="291">
        <v>141747</v>
      </c>
      <c r="C32" s="291">
        <v>158403</v>
      </c>
      <c r="D32" s="291">
        <v>135021</v>
      </c>
      <c r="E32" s="291">
        <v>124436</v>
      </c>
      <c r="F32" s="291">
        <v>126897</v>
      </c>
    </row>
    <row r="33" spans="1:6">
      <c r="A33" s="260" t="s">
        <v>369</v>
      </c>
      <c r="B33" s="311">
        <v>172333</v>
      </c>
      <c r="C33" s="311">
        <v>193925</v>
      </c>
      <c r="D33" s="311">
        <v>197672</v>
      </c>
      <c r="E33" s="311">
        <v>189644</v>
      </c>
      <c r="F33" s="311">
        <v>200729</v>
      </c>
    </row>
    <row r="34" spans="1:6">
      <c r="A34" s="262" t="s">
        <v>321</v>
      </c>
      <c r="B34" s="291">
        <v>680</v>
      </c>
      <c r="C34" s="291">
        <v>673</v>
      </c>
      <c r="D34" s="291">
        <v>173</v>
      </c>
      <c r="E34" s="291">
        <v>181</v>
      </c>
      <c r="F34" s="291">
        <v>130</v>
      </c>
    </row>
    <row r="35" spans="1:6">
      <c r="A35" s="260" t="s">
        <v>51</v>
      </c>
      <c r="B35" s="310">
        <v>173013</v>
      </c>
      <c r="C35" s="310">
        <v>194598</v>
      </c>
      <c r="D35" s="310">
        <v>197845</v>
      </c>
      <c r="E35" s="310">
        <v>189825</v>
      </c>
      <c r="F35" s="310">
        <v>200859</v>
      </c>
    </row>
    <row r="36" spans="1:6">
      <c r="A36" s="260" t="s">
        <v>16</v>
      </c>
      <c r="B36" s="310">
        <v>1341015</v>
      </c>
      <c r="C36" s="310">
        <v>1313864</v>
      </c>
      <c r="D36" s="310">
        <v>1172706</v>
      </c>
      <c r="E36" s="310">
        <v>1081855</v>
      </c>
      <c r="F36" s="310">
        <v>1164327</v>
      </c>
    </row>
    <row r="37" spans="1:6" ht="1.5" customHeight="1">
      <c r="A37" s="260"/>
      <c r="B37" s="271"/>
      <c r="C37" s="271"/>
      <c r="D37" s="271"/>
      <c r="E37" s="271"/>
      <c r="F37" s="271"/>
    </row>
    <row r="38" spans="1:6">
      <c r="A38" s="260"/>
      <c r="B38" s="265"/>
      <c r="C38" s="265"/>
      <c r="D38" s="265"/>
      <c r="E38" s="265"/>
      <c r="F38" s="265"/>
    </row>
    <row r="39" spans="1:6">
      <c r="A39" s="264"/>
      <c r="B39" s="265"/>
      <c r="C39" s="265"/>
      <c r="D39" s="265"/>
      <c r="E39" s="265"/>
      <c r="F39" s="265"/>
    </row>
    <row r="40" spans="1:6">
      <c r="A40" s="264"/>
      <c r="B40" s="265"/>
      <c r="C40" s="265"/>
      <c r="D40" s="265"/>
      <c r="E40" s="265"/>
      <c r="F40" s="265"/>
    </row>
    <row r="41" spans="1:6">
      <c r="A41" s="264"/>
      <c r="B41" s="265"/>
      <c r="C41" s="265"/>
      <c r="D41" s="265"/>
      <c r="E41" s="265"/>
      <c r="F41" s="265"/>
    </row>
    <row r="42" spans="1:6">
      <c r="A42" s="264"/>
      <c r="B42" s="278"/>
      <c r="C42" s="278"/>
      <c r="D42" s="278"/>
      <c r="E42" s="278"/>
      <c r="F42" s="278"/>
    </row>
    <row r="43" spans="1:6">
      <c r="A43" s="264"/>
      <c r="B43" s="261"/>
      <c r="C43" s="261"/>
      <c r="D43" s="261"/>
      <c r="E43" s="261"/>
      <c r="F43" s="261"/>
    </row>
    <row r="44" spans="1:6">
      <c r="A44" s="264"/>
      <c r="B44" s="261"/>
      <c r="C44" s="261"/>
      <c r="D44" s="261"/>
      <c r="E44" s="261"/>
      <c r="F44" s="261"/>
    </row>
    <row r="45" spans="1:6">
      <c r="A45" s="264"/>
      <c r="B45" s="261"/>
      <c r="C45" s="261"/>
      <c r="D45" s="261"/>
      <c r="E45" s="261"/>
      <c r="F45" s="261"/>
    </row>
    <row r="46" spans="1:6">
      <c r="A46" s="264"/>
      <c r="B46" s="261"/>
      <c r="C46" s="261"/>
      <c r="D46" s="261"/>
      <c r="E46" s="261"/>
      <c r="F46" s="261"/>
    </row>
    <row r="47" spans="1:6">
      <c r="A47" s="264"/>
      <c r="B47" s="261"/>
      <c r="C47" s="261"/>
      <c r="D47" s="261"/>
      <c r="E47" s="261"/>
      <c r="F47" s="261"/>
    </row>
    <row r="48" spans="1:6">
      <c r="B48" s="261"/>
      <c r="C48" s="261"/>
      <c r="D48" s="261"/>
      <c r="E48" s="261"/>
      <c r="F48" s="261"/>
    </row>
    <row r="49" spans="2:6">
      <c r="B49" s="261"/>
      <c r="C49" s="261"/>
      <c r="D49" s="261"/>
      <c r="E49" s="261"/>
      <c r="F49" s="261"/>
    </row>
    <row r="50" spans="2:6">
      <c r="B50" s="261"/>
      <c r="C50" s="261"/>
      <c r="D50" s="261"/>
      <c r="E50" s="261"/>
      <c r="F50" s="261"/>
    </row>
    <row r="51" spans="2:6">
      <c r="B51" s="261"/>
      <c r="C51" s="261"/>
      <c r="D51" s="261"/>
      <c r="E51" s="261"/>
      <c r="F51" s="261"/>
    </row>
    <row r="52" spans="2:6">
      <c r="B52" s="261"/>
      <c r="C52" s="261"/>
      <c r="D52" s="261"/>
      <c r="E52" s="261"/>
      <c r="F52" s="261"/>
    </row>
    <row r="53" spans="2:6">
      <c r="B53" s="261"/>
      <c r="C53" s="261"/>
      <c r="D53" s="261"/>
      <c r="E53" s="261"/>
      <c r="F53" s="261"/>
    </row>
    <row r="54" spans="2:6">
      <c r="B54" s="261"/>
      <c r="C54" s="261"/>
      <c r="D54" s="261"/>
      <c r="E54" s="261"/>
      <c r="F54" s="261"/>
    </row>
    <row r="55" spans="2:6">
      <c r="B55" s="261"/>
      <c r="C55" s="261"/>
      <c r="D55" s="261"/>
      <c r="E55" s="261"/>
      <c r="F55" s="261"/>
    </row>
    <row r="56" spans="2:6">
      <c r="B56" s="261"/>
      <c r="C56" s="261"/>
      <c r="D56" s="261"/>
      <c r="E56" s="261"/>
      <c r="F56" s="261"/>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31.03.2022&amp;C&amp;8&amp;P&amp;R&amp;"-,Italic"&amp;8______________________________________________________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C"/>
    <pageSetUpPr fitToPage="1"/>
  </sheetPr>
  <dimension ref="A1:P38"/>
  <sheetViews>
    <sheetView zoomScaleNormal="100" workbookViewId="0"/>
  </sheetViews>
  <sheetFormatPr defaultColWidth="9.140625" defaultRowHeight="14.25"/>
  <cols>
    <col min="1" max="1" width="47.5703125" style="268" bestFit="1" customWidth="1"/>
    <col min="2" max="6" width="9" style="268" customWidth="1"/>
    <col min="7" max="7" width="4" style="268" customWidth="1"/>
    <col min="8" max="8" width="11.28515625" style="268" customWidth="1"/>
    <col min="9" max="9" width="9.140625" style="268"/>
    <col min="10" max="11" width="11.28515625" style="268" bestFit="1" customWidth="1"/>
    <col min="12" max="16384" width="9.140625" style="268"/>
  </cols>
  <sheetData>
    <row r="1" spans="1:16" ht="27.75" customHeight="1">
      <c r="A1" s="254" t="s">
        <v>337</v>
      </c>
      <c r="B1" s="283"/>
      <c r="C1" s="283">
        <v>4</v>
      </c>
      <c r="D1" s="283">
        <v>8</v>
      </c>
      <c r="E1" s="283">
        <v>12</v>
      </c>
      <c r="F1" s="283">
        <v>16</v>
      </c>
      <c r="G1" s="290"/>
    </row>
    <row r="2" spans="1:16">
      <c r="A2" s="256" t="s">
        <v>315</v>
      </c>
      <c r="B2" s="257" t="s">
        <v>445</v>
      </c>
      <c r="C2" s="257" t="s">
        <v>437</v>
      </c>
      <c r="D2" s="257" t="s">
        <v>274</v>
      </c>
      <c r="E2" s="257" t="s">
        <v>271</v>
      </c>
      <c r="F2" s="257" t="s">
        <v>270</v>
      </c>
      <c r="G2" s="290"/>
    </row>
    <row r="3" spans="1:16">
      <c r="A3" s="258"/>
      <c r="B3" s="259"/>
      <c r="C3" s="259"/>
      <c r="D3" s="259"/>
      <c r="E3" s="259"/>
      <c r="F3" s="259"/>
      <c r="G3" s="290"/>
    </row>
    <row r="4" spans="1:16">
      <c r="A4" s="260" t="s">
        <v>81</v>
      </c>
      <c r="B4" s="261"/>
      <c r="C4" s="261"/>
      <c r="D4" s="261"/>
      <c r="E4" s="261"/>
      <c r="F4" s="261"/>
      <c r="G4" s="290"/>
    </row>
    <row r="5" spans="1:16">
      <c r="A5" s="262" t="s">
        <v>281</v>
      </c>
      <c r="B5" s="285">
        <v>392</v>
      </c>
      <c r="C5" s="285">
        <v>88</v>
      </c>
      <c r="D5" s="285">
        <v>774</v>
      </c>
      <c r="E5" s="285">
        <v>969</v>
      </c>
      <c r="F5" s="285">
        <v>1246</v>
      </c>
      <c r="G5" s="290"/>
      <c r="H5" s="285"/>
      <c r="I5" s="285"/>
    </row>
    <row r="6" spans="1:16">
      <c r="A6" s="262" t="s">
        <v>336</v>
      </c>
      <c r="B6" s="285">
        <v>16020</v>
      </c>
      <c r="C6" s="285">
        <v>10708</v>
      </c>
      <c r="D6" s="285">
        <v>10690</v>
      </c>
      <c r="E6" s="285">
        <v>13428</v>
      </c>
      <c r="F6" s="285">
        <v>12513</v>
      </c>
      <c r="G6" s="290"/>
      <c r="H6" s="285"/>
      <c r="I6" s="285"/>
    </row>
    <row r="7" spans="1:16">
      <c r="A7" s="262" t="s">
        <v>12</v>
      </c>
      <c r="B7" s="285">
        <v>1054</v>
      </c>
      <c r="C7" s="285">
        <v>939</v>
      </c>
      <c r="D7" s="285">
        <v>550</v>
      </c>
      <c r="E7" s="285">
        <v>237</v>
      </c>
      <c r="F7" s="285">
        <v>233</v>
      </c>
      <c r="G7" s="290"/>
      <c r="H7" s="285"/>
      <c r="I7" s="285"/>
    </row>
    <row r="8" spans="1:16">
      <c r="A8" s="262" t="s">
        <v>13</v>
      </c>
      <c r="B8" s="291">
        <v>60</v>
      </c>
      <c r="C8" s="291">
        <v>44</v>
      </c>
      <c r="D8" s="291">
        <v>30</v>
      </c>
      <c r="E8" s="291">
        <v>50</v>
      </c>
      <c r="F8" s="291">
        <v>52</v>
      </c>
      <c r="G8" s="290"/>
      <c r="H8" s="285"/>
      <c r="I8" s="285"/>
    </row>
    <row r="9" spans="1:16">
      <c r="A9" s="260" t="s">
        <v>81</v>
      </c>
      <c r="B9" s="310">
        <v>17526</v>
      </c>
      <c r="C9" s="310">
        <v>11779</v>
      </c>
      <c r="D9" s="310">
        <v>12044</v>
      </c>
      <c r="E9" s="310">
        <v>14684</v>
      </c>
      <c r="F9" s="310">
        <v>14044</v>
      </c>
      <c r="G9" s="290"/>
      <c r="H9" s="285"/>
      <c r="I9" s="285"/>
      <c r="J9" s="285"/>
      <c r="K9" s="285"/>
      <c r="L9" s="285"/>
      <c r="M9" s="285"/>
    </row>
    <row r="10" spans="1:16">
      <c r="A10" s="277"/>
      <c r="B10" s="285"/>
      <c r="C10" s="285"/>
      <c r="D10" s="285"/>
      <c r="E10" s="285"/>
      <c r="F10" s="285"/>
      <c r="G10" s="290"/>
      <c r="H10" s="285"/>
      <c r="I10" s="285"/>
      <c r="J10" s="285"/>
      <c r="K10" s="285"/>
      <c r="L10" s="285"/>
      <c r="M10" s="285"/>
    </row>
    <row r="11" spans="1:16">
      <c r="A11" s="260" t="s">
        <v>82</v>
      </c>
      <c r="B11" s="285"/>
      <c r="C11" s="285"/>
      <c r="D11" s="285"/>
      <c r="E11" s="285"/>
      <c r="F11" s="285"/>
      <c r="G11" s="290"/>
      <c r="H11" s="285"/>
      <c r="I11" s="285"/>
      <c r="J11" s="285"/>
      <c r="K11" s="285"/>
      <c r="L11" s="285"/>
      <c r="M11" s="285"/>
    </row>
    <row r="12" spans="1:16">
      <c r="A12" s="262" t="s">
        <v>14</v>
      </c>
      <c r="B12" s="285">
        <v>-3478</v>
      </c>
      <c r="C12" s="285">
        <v>-1181</v>
      </c>
      <c r="D12" s="285">
        <v>-2011</v>
      </c>
      <c r="E12" s="285">
        <v>-3252</v>
      </c>
      <c r="F12" s="285">
        <v>-3199</v>
      </c>
      <c r="G12" s="290"/>
      <c r="H12" s="285"/>
      <c r="I12" s="285"/>
      <c r="J12" s="285"/>
      <c r="K12" s="285"/>
      <c r="L12" s="285"/>
      <c r="M12" s="285"/>
    </row>
    <row r="13" spans="1:16">
      <c r="A13" s="262" t="s">
        <v>11</v>
      </c>
      <c r="B13" s="285">
        <v>-3957</v>
      </c>
      <c r="C13" s="285">
        <v>-2774</v>
      </c>
      <c r="D13" s="285">
        <v>-2443</v>
      </c>
      <c r="E13" s="285">
        <v>-3927</v>
      </c>
      <c r="F13" s="285">
        <v>-3987</v>
      </c>
      <c r="G13" s="290"/>
      <c r="H13" s="285"/>
      <c r="I13" s="285"/>
      <c r="J13" s="285"/>
      <c r="K13" s="285"/>
      <c r="L13" s="285"/>
      <c r="M13" s="285"/>
    </row>
    <row r="14" spans="1:16">
      <c r="A14" s="262" t="s">
        <v>357</v>
      </c>
      <c r="B14" s="285">
        <v>-520</v>
      </c>
      <c r="C14" s="285">
        <v>-453</v>
      </c>
      <c r="D14" s="285">
        <v>-313</v>
      </c>
      <c r="E14" s="285">
        <v>-47</v>
      </c>
      <c r="F14" s="285">
        <v>0</v>
      </c>
      <c r="G14" s="290"/>
      <c r="H14" s="285"/>
      <c r="I14" s="285"/>
      <c r="J14" s="285"/>
      <c r="K14" s="285"/>
      <c r="L14" s="285"/>
      <c r="M14" s="285"/>
    </row>
    <row r="15" spans="1:16">
      <c r="A15" s="262" t="s">
        <v>13</v>
      </c>
      <c r="B15" s="291">
        <v>-43</v>
      </c>
      <c r="C15" s="291">
        <v>-29</v>
      </c>
      <c r="D15" s="291">
        <v>-24</v>
      </c>
      <c r="E15" s="291">
        <v>-24</v>
      </c>
      <c r="F15" s="291">
        <v>-31</v>
      </c>
      <c r="G15" s="290"/>
      <c r="H15" s="285"/>
      <c r="I15" s="285"/>
      <c r="J15" s="285"/>
      <c r="K15" s="285"/>
      <c r="L15" s="285"/>
      <c r="M15" s="285"/>
    </row>
    <row r="16" spans="1:16">
      <c r="A16" s="260" t="s">
        <v>82</v>
      </c>
      <c r="B16" s="310">
        <v>-7998</v>
      </c>
      <c r="C16" s="310">
        <v>-4437</v>
      </c>
      <c r="D16" s="310">
        <v>-4791</v>
      </c>
      <c r="E16" s="310">
        <v>-7250</v>
      </c>
      <c r="F16" s="310">
        <v>-7217</v>
      </c>
      <c r="G16" s="290"/>
      <c r="H16" s="285"/>
      <c r="I16" s="285"/>
      <c r="J16" s="285"/>
      <c r="K16" s="285"/>
      <c r="L16" s="285"/>
      <c r="M16" s="285"/>
      <c r="N16" s="272"/>
      <c r="O16" s="272"/>
      <c r="P16" s="272"/>
    </row>
    <row r="17" spans="1:13">
      <c r="A17" s="264"/>
      <c r="B17" s="291"/>
      <c r="C17" s="291"/>
      <c r="D17" s="291"/>
      <c r="E17" s="291"/>
      <c r="F17" s="291"/>
      <c r="G17" s="290"/>
      <c r="H17" s="285"/>
      <c r="I17" s="285"/>
      <c r="J17" s="285"/>
      <c r="K17" s="285"/>
      <c r="L17" s="285"/>
      <c r="M17" s="285"/>
    </row>
    <row r="18" spans="1:13">
      <c r="A18" s="260" t="s">
        <v>0</v>
      </c>
      <c r="B18" s="310">
        <v>9528</v>
      </c>
      <c r="C18" s="310">
        <v>7342</v>
      </c>
      <c r="D18" s="310">
        <v>7253</v>
      </c>
      <c r="E18" s="310">
        <v>7434</v>
      </c>
      <c r="F18" s="310">
        <v>6827</v>
      </c>
      <c r="G18" s="290"/>
      <c r="H18" s="285"/>
      <c r="I18" s="285"/>
      <c r="J18" s="285"/>
      <c r="K18" s="285"/>
      <c r="L18" s="285"/>
      <c r="M18" s="285"/>
    </row>
    <row r="19" spans="1:13" ht="1.5" customHeight="1">
      <c r="A19" s="260"/>
      <c r="B19" s="291"/>
      <c r="C19" s="291"/>
      <c r="D19" s="291"/>
      <c r="E19" s="291"/>
      <c r="F19" s="291"/>
      <c r="G19" s="290"/>
      <c r="H19" s="285"/>
      <c r="I19" s="285"/>
    </row>
    <row r="20" spans="1:13">
      <c r="A20" s="277"/>
      <c r="B20" s="285"/>
      <c r="C20" s="285"/>
      <c r="D20" s="285"/>
      <c r="E20" s="285"/>
      <c r="F20" s="285"/>
      <c r="G20" s="290"/>
      <c r="H20" s="285"/>
      <c r="I20" s="285"/>
    </row>
    <row r="21" spans="1:13">
      <c r="A21" s="260" t="s">
        <v>310</v>
      </c>
      <c r="B21" s="290"/>
      <c r="C21" s="290"/>
      <c r="D21" s="290"/>
      <c r="E21" s="290"/>
      <c r="F21" s="290"/>
      <c r="G21" s="290"/>
      <c r="H21" s="285"/>
      <c r="I21" s="285"/>
    </row>
    <row r="22" spans="1:13">
      <c r="A22" s="262" t="s">
        <v>328</v>
      </c>
      <c r="B22" s="285">
        <v>64395</v>
      </c>
      <c r="C22" s="285">
        <v>60479</v>
      </c>
      <c r="D22" s="285">
        <v>118174</v>
      </c>
      <c r="E22" s="285">
        <v>94124</v>
      </c>
      <c r="F22" s="285">
        <v>97934.134622829995</v>
      </c>
      <c r="G22" s="290"/>
      <c r="H22" s="285"/>
      <c r="I22" s="285"/>
    </row>
    <row r="23" spans="1:13">
      <c r="A23" s="262" t="s">
        <v>336</v>
      </c>
      <c r="B23" s="285">
        <v>1012251</v>
      </c>
      <c r="C23" s="285">
        <v>866413</v>
      </c>
      <c r="D23" s="285">
        <v>812620</v>
      </c>
      <c r="E23" s="285">
        <v>914224</v>
      </c>
      <c r="F23" s="285">
        <v>877216.45275898988</v>
      </c>
      <c r="G23" s="290"/>
      <c r="J23" s="322"/>
    </row>
    <row r="24" spans="1:13">
      <c r="A24" s="262" t="s">
        <v>12</v>
      </c>
      <c r="B24" s="291">
        <v>121721.84502972</v>
      </c>
      <c r="C24" s="291">
        <v>154346.37932158</v>
      </c>
      <c r="D24" s="291">
        <v>163127.27970473003</v>
      </c>
      <c r="E24" s="291">
        <v>97343.488096429995</v>
      </c>
      <c r="F24" s="291">
        <v>71497.828932060002</v>
      </c>
      <c r="G24" s="290"/>
      <c r="J24" s="322"/>
    </row>
    <row r="25" spans="1:13">
      <c r="A25" s="260" t="s">
        <v>310</v>
      </c>
      <c r="B25" s="310">
        <v>1198367.8450297201</v>
      </c>
      <c r="C25" s="310">
        <v>1081238.3793215801</v>
      </c>
      <c r="D25" s="310">
        <v>1093921.27970473</v>
      </c>
      <c r="E25" s="310">
        <v>1105691.48809643</v>
      </c>
      <c r="F25" s="310">
        <v>1046648.4163138799</v>
      </c>
      <c r="G25" s="290"/>
      <c r="J25" s="323"/>
    </row>
    <row r="26" spans="1:13">
      <c r="A26" s="277"/>
      <c r="B26" s="285"/>
      <c r="C26" s="290"/>
      <c r="D26" s="290"/>
      <c r="E26" s="290"/>
      <c r="F26" s="290"/>
      <c r="G26" s="290"/>
    </row>
    <row r="27" spans="1:13">
      <c r="A27" s="260" t="s">
        <v>89</v>
      </c>
      <c r="B27" s="285"/>
      <c r="C27" s="290"/>
      <c r="D27" s="290"/>
      <c r="E27" s="290"/>
      <c r="F27" s="290"/>
      <c r="G27" s="290"/>
    </row>
    <row r="28" spans="1:13">
      <c r="A28" s="262" t="s">
        <v>329</v>
      </c>
      <c r="B28" s="285">
        <v>4270</v>
      </c>
      <c r="C28" s="285">
        <v>9525</v>
      </c>
      <c r="D28" s="285">
        <v>8323</v>
      </c>
      <c r="E28" s="285">
        <v>9183</v>
      </c>
      <c r="F28" s="285">
        <v>7880.3805217099998</v>
      </c>
      <c r="G28" s="285"/>
    </row>
    <row r="29" spans="1:13">
      <c r="A29" s="262" t="s">
        <v>14</v>
      </c>
      <c r="B29" s="285">
        <v>679925</v>
      </c>
      <c r="C29" s="285">
        <v>592540</v>
      </c>
      <c r="D29" s="285">
        <v>539312</v>
      </c>
      <c r="E29" s="285">
        <v>490474</v>
      </c>
      <c r="F29" s="285">
        <v>453058.75998078997</v>
      </c>
      <c r="G29" s="285"/>
    </row>
    <row r="30" spans="1:13">
      <c r="A30" s="262" t="s">
        <v>311</v>
      </c>
      <c r="B30" s="285">
        <v>12323</v>
      </c>
      <c r="C30" s="285">
        <v>6297</v>
      </c>
      <c r="D30" s="285">
        <v>4687</v>
      </c>
      <c r="E30" s="285">
        <v>2286</v>
      </c>
      <c r="F30" s="285">
        <v>3129.7228237300001</v>
      </c>
      <c r="G30" s="285"/>
    </row>
    <row r="31" spans="1:13">
      <c r="A31" s="262" t="s">
        <v>11</v>
      </c>
      <c r="B31" s="285">
        <v>370026</v>
      </c>
      <c r="C31" s="285">
        <v>293747</v>
      </c>
      <c r="D31" s="285">
        <v>322470</v>
      </c>
      <c r="E31" s="285">
        <v>445077</v>
      </c>
      <c r="F31" s="285">
        <v>400854.53557583003</v>
      </c>
      <c r="G31" s="285"/>
    </row>
    <row r="32" spans="1:13">
      <c r="A32" s="262" t="s">
        <v>357</v>
      </c>
      <c r="B32" s="291">
        <v>33674</v>
      </c>
      <c r="C32" s="291">
        <v>34632</v>
      </c>
      <c r="D32" s="291">
        <v>35837</v>
      </c>
      <c r="E32" s="291">
        <v>7283</v>
      </c>
      <c r="F32" s="291">
        <v>0</v>
      </c>
      <c r="G32" s="285"/>
    </row>
    <row r="33" spans="1:7">
      <c r="A33" s="260" t="s">
        <v>89</v>
      </c>
      <c r="B33" s="310">
        <v>1100218</v>
      </c>
      <c r="C33" s="310">
        <v>936741</v>
      </c>
      <c r="D33" s="310">
        <v>910629</v>
      </c>
      <c r="E33" s="310">
        <v>954303</v>
      </c>
      <c r="F33" s="310">
        <v>864923.39890206</v>
      </c>
      <c r="G33" s="311"/>
    </row>
    <row r="34" spans="1:7">
      <c r="B34" s="291"/>
      <c r="C34" s="291"/>
      <c r="D34" s="291"/>
      <c r="E34" s="291"/>
      <c r="F34" s="291"/>
      <c r="G34" s="285"/>
    </row>
    <row r="35" spans="1:7">
      <c r="A35" s="260" t="s">
        <v>52</v>
      </c>
      <c r="B35" s="310">
        <v>98149.845029720105</v>
      </c>
      <c r="C35" s="310">
        <v>144497.37932158005</v>
      </c>
      <c r="D35" s="310">
        <v>183292.27970473003</v>
      </c>
      <c r="E35" s="310">
        <v>151388.48809642997</v>
      </c>
      <c r="F35" s="310">
        <v>181725.01741181989</v>
      </c>
      <c r="G35" s="311"/>
    </row>
    <row r="36" spans="1:7" ht="1.5" customHeight="1">
      <c r="A36" s="260"/>
      <c r="B36" s="291"/>
      <c r="C36" s="291"/>
      <c r="D36" s="291"/>
      <c r="E36" s="291"/>
      <c r="F36" s="291"/>
      <c r="G36" s="285"/>
    </row>
    <row r="37" spans="1:7">
      <c r="A37" s="277"/>
      <c r="B37" s="264"/>
      <c r="C37" s="264"/>
      <c r="D37" s="264"/>
      <c r="E37" s="264"/>
      <c r="F37" s="264"/>
      <c r="G37" s="264"/>
    </row>
    <row r="38" spans="1:7">
      <c r="A38" s="260" t="s">
        <v>366</v>
      </c>
      <c r="B38" s="315">
        <v>3.0948828498771508E-2</v>
      </c>
      <c r="C38" s="315">
        <v>2.667089004280173E-2</v>
      </c>
      <c r="D38" s="315">
        <v>2.7837300426285343E-2</v>
      </c>
      <c r="E38" s="315">
        <v>2.7252281074167408E-2</v>
      </c>
      <c r="F38" s="315">
        <v>2.6520443798945526E-2</v>
      </c>
      <c r="G38" s="315"/>
    </row>
  </sheetData>
  <pageMargins left="0.70866141732283472" right="0.70866141732283472" top="0.74803149606299213" bottom="0.74803149606299213" header="0.31496062992125984" footer="0.31496062992125984"/>
  <pageSetup paperSize="9" scale="94" firstPageNumber="5" orientation="portrait" useFirstPageNumber="1" r:id="rId1"/>
  <headerFooter>
    <oddFooter>&amp;L&amp;8______________________________________________________
&amp;"-,Italic"Arion Bank Factbook 31.03.2022&amp;C&amp;8&amp;P&amp;R&amp;8__________________________&amp;"-,Italic"____________________________
All amounts are in ISK millions</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C"/>
  </sheetPr>
  <dimension ref="A1:L44"/>
  <sheetViews>
    <sheetView zoomScaleNormal="100" workbookViewId="0"/>
  </sheetViews>
  <sheetFormatPr defaultColWidth="9.140625" defaultRowHeight="14.25"/>
  <cols>
    <col min="1" max="1" width="48.85546875" style="268" customWidth="1"/>
    <col min="2" max="4" width="10.140625" style="268" bestFit="1" customWidth="1"/>
    <col min="5" max="5" width="10.140625" style="268" customWidth="1"/>
    <col min="6" max="6" width="10.140625" style="268" bestFit="1" customWidth="1"/>
    <col min="7" max="7" width="9.140625" style="268"/>
    <col min="8" max="8" width="10.140625" style="268" bestFit="1" customWidth="1"/>
    <col min="9" max="10" width="9.140625" style="268"/>
    <col min="11" max="11" width="40.28515625" style="268" customWidth="1"/>
    <col min="12" max="16384" width="9.140625" style="268"/>
  </cols>
  <sheetData>
    <row r="1" spans="1:12" ht="27.75" customHeight="1">
      <c r="A1" s="340" t="s">
        <v>339</v>
      </c>
      <c r="B1" s="340"/>
      <c r="C1" s="283">
        <v>1</v>
      </c>
      <c r="D1" s="283">
        <v>5</v>
      </c>
      <c r="E1" s="283">
        <v>9</v>
      </c>
      <c r="F1" s="283">
        <v>13</v>
      </c>
      <c r="G1" s="258"/>
    </row>
    <row r="2" spans="1:12">
      <c r="A2" s="256" t="s">
        <v>315</v>
      </c>
      <c r="B2" s="314">
        <v>44651</v>
      </c>
      <c r="C2" s="314">
        <v>44561</v>
      </c>
      <c r="D2" s="314">
        <v>44196</v>
      </c>
      <c r="E2" s="314">
        <v>43830</v>
      </c>
      <c r="F2" s="314">
        <v>43465</v>
      </c>
    </row>
    <row r="3" spans="1:12">
      <c r="A3" s="258"/>
      <c r="B3" s="259"/>
      <c r="C3" s="259"/>
      <c r="D3" s="259"/>
      <c r="E3" s="259"/>
      <c r="F3" s="259"/>
    </row>
    <row r="4" spans="1:12">
      <c r="A4" s="260" t="s">
        <v>24</v>
      </c>
      <c r="B4" s="261"/>
      <c r="C4" s="261"/>
      <c r="D4" s="261"/>
      <c r="E4" s="261"/>
      <c r="F4" s="261"/>
    </row>
    <row r="5" spans="1:12">
      <c r="A5" s="262" t="s">
        <v>28</v>
      </c>
      <c r="B5" s="285">
        <v>534395</v>
      </c>
      <c r="C5" s="285">
        <v>526498</v>
      </c>
      <c r="D5" s="285">
        <v>433336</v>
      </c>
      <c r="E5" s="285">
        <v>368569</v>
      </c>
      <c r="F5" s="285">
        <v>400483</v>
      </c>
      <c r="H5" s="272"/>
    </row>
    <row r="6" spans="1:12">
      <c r="A6" s="262" t="s">
        <v>340</v>
      </c>
      <c r="B6" s="291">
        <v>441988</v>
      </c>
      <c r="C6" s="291">
        <v>409739</v>
      </c>
      <c r="D6" s="291">
        <v>389605</v>
      </c>
      <c r="E6" s="291">
        <v>405386</v>
      </c>
      <c r="F6" s="291">
        <v>433343</v>
      </c>
      <c r="H6" s="269"/>
    </row>
    <row r="7" spans="1:12">
      <c r="A7" s="260" t="s">
        <v>87</v>
      </c>
      <c r="B7" s="291">
        <v>976383</v>
      </c>
      <c r="C7" s="291">
        <v>936237</v>
      </c>
      <c r="D7" s="291">
        <v>822941</v>
      </c>
      <c r="E7" s="291">
        <v>773955</v>
      </c>
      <c r="F7" s="291">
        <v>833826</v>
      </c>
      <c r="H7" s="272"/>
      <c r="I7" s="272"/>
      <c r="J7" s="272"/>
      <c r="K7" s="272"/>
      <c r="L7" s="272"/>
    </row>
    <row r="8" spans="1:12">
      <c r="A8" s="277"/>
      <c r="B8" s="285"/>
      <c r="C8" s="285"/>
      <c r="D8" s="285"/>
      <c r="E8" s="285"/>
      <c r="F8" s="285"/>
    </row>
    <row r="9" spans="1:12">
      <c r="A9" s="260" t="s">
        <v>370</v>
      </c>
      <c r="B9" s="290"/>
      <c r="C9" s="290"/>
      <c r="D9" s="290"/>
      <c r="E9" s="290"/>
      <c r="F9" s="290"/>
    </row>
    <row r="10" spans="1:12" s="247" customFormat="1" ht="15">
      <c r="A10" s="262" t="s">
        <v>400</v>
      </c>
      <c r="B10" s="284">
        <v>1.6332522311564426E-2</v>
      </c>
      <c r="C10" s="284">
        <v>1.896302009774993E-2</v>
      </c>
      <c r="D10" s="284">
        <v>2.6172517778485695E-2</v>
      </c>
      <c r="E10" s="284">
        <v>2.6684084042670017E-2</v>
      </c>
      <c r="F10" s="284">
        <v>2.6213933639685067E-2</v>
      </c>
      <c r="G10" s="245"/>
    </row>
    <row r="11" spans="1:12">
      <c r="A11" s="262"/>
      <c r="B11" s="285"/>
      <c r="C11" s="287"/>
      <c r="D11" s="287"/>
      <c r="E11" s="287"/>
      <c r="F11" s="287"/>
    </row>
    <row r="12" spans="1:12">
      <c r="A12" s="270" t="s">
        <v>401</v>
      </c>
      <c r="B12" s="287"/>
      <c r="C12" s="287"/>
      <c r="D12" s="287"/>
      <c r="E12" s="287"/>
      <c r="F12" s="287"/>
    </row>
    <row r="13" spans="1:12">
      <c r="A13" s="270"/>
      <c r="B13" s="287"/>
      <c r="C13" s="287"/>
      <c r="D13" s="287"/>
      <c r="E13" s="287"/>
      <c r="F13" s="287"/>
    </row>
    <row r="14" spans="1:12">
      <c r="A14" s="260" t="s">
        <v>341</v>
      </c>
      <c r="B14" s="280"/>
      <c r="C14" s="280"/>
      <c r="D14" s="280"/>
      <c r="E14" s="280"/>
      <c r="F14" s="280"/>
    </row>
    <row r="15" spans="1:12">
      <c r="A15" s="262" t="s">
        <v>30</v>
      </c>
      <c r="B15" s="285">
        <v>15262</v>
      </c>
      <c r="C15" s="285">
        <v>14255</v>
      </c>
      <c r="D15" s="285">
        <v>12875</v>
      </c>
      <c r="E15" s="285">
        <v>14421</v>
      </c>
      <c r="F15" s="285">
        <v>14536</v>
      </c>
    </row>
    <row r="16" spans="1:12">
      <c r="A16" s="262" t="s">
        <v>254</v>
      </c>
      <c r="B16" s="285">
        <v>13270</v>
      </c>
      <c r="C16" s="285">
        <v>13192</v>
      </c>
      <c r="D16" s="285">
        <v>12260</v>
      </c>
      <c r="E16" s="285">
        <v>13028</v>
      </c>
      <c r="F16" s="285">
        <v>12958</v>
      </c>
    </row>
    <row r="17" spans="1:12">
      <c r="A17" s="262" t="s">
        <v>245</v>
      </c>
      <c r="B17" s="285">
        <v>469877</v>
      </c>
      <c r="C17" s="285">
        <v>463895</v>
      </c>
      <c r="D17" s="285">
        <v>378554</v>
      </c>
      <c r="E17" s="285">
        <v>310562</v>
      </c>
      <c r="F17" s="285">
        <v>343119</v>
      </c>
    </row>
    <row r="18" spans="1:12">
      <c r="A18" s="262" t="s">
        <v>32</v>
      </c>
      <c r="B18" s="285">
        <v>37856</v>
      </c>
      <c r="C18" s="285">
        <v>37044</v>
      </c>
      <c r="D18" s="285">
        <v>32122</v>
      </c>
      <c r="E18" s="285">
        <v>33105</v>
      </c>
      <c r="F18" s="285">
        <v>33560</v>
      </c>
    </row>
    <row r="19" spans="1:12">
      <c r="A19" s="262" t="s">
        <v>342</v>
      </c>
      <c r="B19" s="291">
        <v>-1870</v>
      </c>
      <c r="C19" s="291">
        <v>-1888</v>
      </c>
      <c r="D19" s="291">
        <v>-2475</v>
      </c>
      <c r="E19" s="291">
        <v>-2547</v>
      </c>
      <c r="F19" s="291">
        <v>-3690</v>
      </c>
    </row>
    <row r="20" spans="1:12">
      <c r="A20" s="260" t="s">
        <v>343</v>
      </c>
      <c r="B20" s="291">
        <v>534395</v>
      </c>
      <c r="C20" s="291">
        <v>526498</v>
      </c>
      <c r="D20" s="291">
        <v>433336</v>
      </c>
      <c r="E20" s="291">
        <v>368569</v>
      </c>
      <c r="F20" s="291">
        <v>400483</v>
      </c>
      <c r="G20" s="272"/>
      <c r="H20" s="272"/>
      <c r="I20" s="272"/>
      <c r="J20" s="272"/>
      <c r="K20" s="272"/>
      <c r="L20" s="272"/>
    </row>
    <row r="21" spans="1:12">
      <c r="A21" s="264"/>
      <c r="B21" s="285"/>
      <c r="C21" s="285"/>
      <c r="D21" s="285"/>
      <c r="E21" s="285"/>
      <c r="F21" s="285"/>
    </row>
    <row r="22" spans="1:12">
      <c r="A22" s="270"/>
      <c r="B22" s="264"/>
      <c r="C22" s="264"/>
      <c r="D22" s="264"/>
      <c r="E22" s="264"/>
      <c r="F22" s="264"/>
    </row>
    <row r="23" spans="1:12">
      <c r="A23" s="260" t="s">
        <v>350</v>
      </c>
      <c r="B23" s="280"/>
      <c r="C23" s="280"/>
      <c r="D23" s="280"/>
      <c r="E23" s="280"/>
      <c r="F23" s="280"/>
    </row>
    <row r="24" spans="1:12">
      <c r="A24" s="262" t="s">
        <v>30</v>
      </c>
      <c r="B24" s="285">
        <v>20371</v>
      </c>
      <c r="C24" s="285">
        <v>18301</v>
      </c>
      <c r="D24" s="285">
        <v>15471</v>
      </c>
      <c r="E24" s="285">
        <v>18709</v>
      </c>
      <c r="F24" s="285">
        <v>19200</v>
      </c>
    </row>
    <row r="25" spans="1:12">
      <c r="A25" s="262" t="s">
        <v>254</v>
      </c>
      <c r="B25" s="285">
        <v>1526</v>
      </c>
      <c r="C25" s="285">
        <v>1449</v>
      </c>
      <c r="D25" s="285">
        <v>1086</v>
      </c>
      <c r="E25" s="285">
        <v>1373</v>
      </c>
      <c r="F25" s="285">
        <v>1348</v>
      </c>
    </row>
    <row r="26" spans="1:12">
      <c r="A26" s="262" t="s">
        <v>245</v>
      </c>
      <c r="B26" s="285">
        <v>46508</v>
      </c>
      <c r="C26" s="285">
        <v>41588</v>
      </c>
      <c r="D26" s="285">
        <v>32175</v>
      </c>
      <c r="E26" s="285">
        <v>23475</v>
      </c>
      <c r="F26" s="285">
        <v>23417</v>
      </c>
    </row>
    <row r="27" spans="1:12">
      <c r="A27" s="262" t="s">
        <v>32</v>
      </c>
      <c r="B27" s="285">
        <v>379685</v>
      </c>
      <c r="C27" s="285">
        <v>354113</v>
      </c>
      <c r="D27" s="285">
        <v>350455</v>
      </c>
      <c r="E27" s="285">
        <v>368453</v>
      </c>
      <c r="F27" s="285">
        <v>395579</v>
      </c>
    </row>
    <row r="28" spans="1:12">
      <c r="A28" s="262" t="s">
        <v>342</v>
      </c>
      <c r="B28" s="291">
        <v>-6102</v>
      </c>
      <c r="C28" s="291">
        <v>-5712</v>
      </c>
      <c r="D28" s="291">
        <v>-9582</v>
      </c>
      <c r="E28" s="291">
        <v>-6624</v>
      </c>
      <c r="F28" s="291">
        <v>-6201</v>
      </c>
    </row>
    <row r="29" spans="1:12">
      <c r="A29" s="260" t="s">
        <v>351</v>
      </c>
      <c r="B29" s="291">
        <v>441988</v>
      </c>
      <c r="C29" s="291">
        <v>409739</v>
      </c>
      <c r="D29" s="291">
        <v>389605</v>
      </c>
      <c r="E29" s="291">
        <v>405386</v>
      </c>
      <c r="F29" s="291">
        <v>433343</v>
      </c>
      <c r="G29" s="272"/>
      <c r="H29" s="272"/>
      <c r="I29" s="272"/>
      <c r="J29" s="272"/>
      <c r="K29" s="272"/>
      <c r="L29" s="272"/>
    </row>
    <row r="30" spans="1:12">
      <c r="B30" s="290"/>
      <c r="C30" s="290"/>
      <c r="D30" s="290"/>
      <c r="E30" s="290"/>
      <c r="F30" s="290"/>
    </row>
    <row r="31" spans="1:12">
      <c r="A31" s="260" t="s">
        <v>352</v>
      </c>
      <c r="B31" s="264"/>
      <c r="C31" s="264"/>
      <c r="D31" s="264"/>
      <c r="E31" s="264"/>
      <c r="F31" s="264"/>
    </row>
    <row r="32" spans="1:12">
      <c r="A32" s="262" t="s">
        <v>371</v>
      </c>
      <c r="B32" s="284">
        <v>2.5437342190285709E-2</v>
      </c>
      <c r="C32" s="284">
        <v>2.4928063962668917E-2</v>
      </c>
      <c r="D32" s="284">
        <v>2.0746653662042324E-2</v>
      </c>
      <c r="E32" s="284">
        <v>1.8888170780441357E-2</v>
      </c>
      <c r="F32" s="284">
        <v>1.721269294761886E-2</v>
      </c>
    </row>
    <row r="33" spans="1:6">
      <c r="A33" s="262" t="s">
        <v>173</v>
      </c>
      <c r="B33" s="284">
        <v>4.341520584269256E-2</v>
      </c>
      <c r="C33" s="284">
        <v>4.2146341939624979E-2</v>
      </c>
      <c r="D33" s="284">
        <v>3.3816301125498903E-2</v>
      </c>
      <c r="E33" s="284">
        <v>4.336607578949446E-2</v>
      </c>
      <c r="F33" s="284">
        <v>3.8147610553303041E-2</v>
      </c>
    </row>
    <row r="34" spans="1:6">
      <c r="A34" s="262" t="s">
        <v>344</v>
      </c>
      <c r="B34" s="284">
        <v>0.10601192792564504</v>
      </c>
      <c r="C34" s="284">
        <v>0.11177359245763767</v>
      </c>
      <c r="D34" s="284">
        <v>9.1757035972330953E-2</v>
      </c>
      <c r="E34" s="284">
        <v>8.3054175526535198E-2</v>
      </c>
      <c r="F34" s="284">
        <v>8.6598837410550078E-2</v>
      </c>
    </row>
    <row r="35" spans="1:6">
      <c r="A35" s="262" t="s">
        <v>345</v>
      </c>
      <c r="B35" s="284">
        <v>7.9312108021032252E-2</v>
      </c>
      <c r="C35" s="284">
        <v>6.8138497921847813E-2</v>
      </c>
      <c r="D35" s="284">
        <v>8.0063140873448749E-2</v>
      </c>
      <c r="E35" s="284">
        <v>9.8446912325536651E-2</v>
      </c>
      <c r="F35" s="284">
        <v>8.1704331211072984E-2</v>
      </c>
    </row>
    <row r="36" spans="1:6">
      <c r="A36" s="262" t="s">
        <v>346</v>
      </c>
      <c r="B36" s="284">
        <v>5.3415477343276285E-2</v>
      </c>
      <c r="C36" s="284">
        <v>4.0845513851500592E-2</v>
      </c>
      <c r="D36" s="284">
        <v>5.3413072214165629E-2</v>
      </c>
      <c r="E36" s="284">
        <v>4.712052216899449E-2</v>
      </c>
      <c r="F36" s="284">
        <v>4.7618168517779218E-2</v>
      </c>
    </row>
    <row r="37" spans="1:6">
      <c r="A37" s="262" t="s">
        <v>347</v>
      </c>
      <c r="B37" s="284">
        <v>1.6303610052761614E-2</v>
      </c>
      <c r="C37" s="284">
        <v>1.6883918787325591E-2</v>
      </c>
      <c r="D37" s="284">
        <v>1.7417640944033058E-2</v>
      </c>
      <c r="E37" s="284">
        <v>2.1256284134133888E-2</v>
      </c>
      <c r="F37" s="284">
        <v>1.5758879225001902E-2</v>
      </c>
    </row>
    <row r="38" spans="1:6">
      <c r="A38" s="262" t="s">
        <v>348</v>
      </c>
      <c r="B38" s="284">
        <v>0.3099812664597229</v>
      </c>
      <c r="C38" s="284">
        <v>0.31076124069224553</v>
      </c>
      <c r="D38" s="284">
        <v>0.32825040746396994</v>
      </c>
      <c r="E38" s="284">
        <v>0.32032679964280958</v>
      </c>
      <c r="F38" s="284">
        <v>0.33933166106294554</v>
      </c>
    </row>
    <row r="39" spans="1:6">
      <c r="A39" s="262" t="s">
        <v>171</v>
      </c>
      <c r="B39" s="284">
        <v>0.17557263998117595</v>
      </c>
      <c r="C39" s="284">
        <v>0.19059450040147508</v>
      </c>
      <c r="D39" s="284">
        <v>0.20939669665430372</v>
      </c>
      <c r="E39" s="284">
        <v>0.20459759340480432</v>
      </c>
      <c r="F39" s="284">
        <v>0.19413720770844342</v>
      </c>
    </row>
    <row r="40" spans="1:6">
      <c r="A40" s="262" t="s">
        <v>172</v>
      </c>
      <c r="B40" s="284">
        <v>3.0417115396798103E-2</v>
      </c>
      <c r="C40" s="284">
        <v>3.4563466011290116E-2</v>
      </c>
      <c r="D40" s="284">
        <v>3.2699785680368576E-2</v>
      </c>
      <c r="E40" s="284">
        <v>2.7297439970793268E-2</v>
      </c>
      <c r="F40" s="284">
        <v>2.7594769039767573E-2</v>
      </c>
    </row>
    <row r="41" spans="1:6">
      <c r="A41" s="262" t="s">
        <v>349</v>
      </c>
      <c r="B41" s="294">
        <v>0.16013330678660959</v>
      </c>
      <c r="C41" s="294">
        <v>0.15936486397438368</v>
      </c>
      <c r="D41" s="294">
        <v>0.13243926540983816</v>
      </c>
      <c r="E41" s="294">
        <v>0.1356460262564568</v>
      </c>
      <c r="F41" s="294">
        <v>0.15189814996434695</v>
      </c>
    </row>
    <row r="42" spans="1:6">
      <c r="B42" s="295">
        <v>1</v>
      </c>
      <c r="C42" s="295">
        <v>1</v>
      </c>
      <c r="D42" s="295">
        <v>1</v>
      </c>
      <c r="E42" s="295">
        <v>1</v>
      </c>
      <c r="F42" s="295">
        <v>1.0000023076408295</v>
      </c>
    </row>
    <row r="43" spans="1:6">
      <c r="A43" s="270"/>
    </row>
    <row r="44" spans="1:6">
      <c r="A44" s="270"/>
    </row>
  </sheetData>
  <mergeCells count="1">
    <mergeCell ref="A1:B1"/>
  </mergeCells>
  <pageMargins left="0.70866141732283472" right="0.70866141732283472" top="0.74803149606299213" bottom="0.74803149606299213" header="0.31496062992125984" footer="0.31496062992125984"/>
  <pageSetup paperSize="9" scale="87" firstPageNumber="6" orientation="portrait" useFirstPageNumber="1" r:id="rId1"/>
  <headerFooter>
    <oddFooter>&amp;L&amp;8______________________________________________________
&amp;"-,Italic"Arion Bank Factbook 31.03.2022&amp;C&amp;8&amp;P&amp;R&amp;8__________________________&amp;"-,Italic"____________________________
All amounts are in ISK millions</oddFooter>
  </headerFooter>
  <rowBreaks count="1" manualBreakCount="1">
    <brk id="2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C"/>
    <pageSetUpPr fitToPage="1"/>
  </sheetPr>
  <dimension ref="A1:L66"/>
  <sheetViews>
    <sheetView zoomScaleNormal="100" zoomScaleSheetLayoutView="85" workbookViewId="0"/>
  </sheetViews>
  <sheetFormatPr defaultColWidth="9.140625" defaultRowHeight="14.25"/>
  <cols>
    <col min="1" max="1" width="57" style="268" bestFit="1" customWidth="1"/>
    <col min="2" max="2" width="10.140625" style="268" customWidth="1"/>
    <col min="3" max="6" width="10.140625" style="268" bestFit="1" customWidth="1"/>
    <col min="7" max="7" width="40.28515625" style="268" customWidth="1"/>
    <col min="8" max="8" width="11.28515625" style="268" bestFit="1" customWidth="1"/>
    <col min="9" max="16384" width="9.140625" style="268"/>
  </cols>
  <sheetData>
    <row r="1" spans="1:6" ht="27.75" customHeight="1">
      <c r="A1" s="254" t="s">
        <v>358</v>
      </c>
      <c r="B1" s="283">
        <v>0</v>
      </c>
      <c r="C1" s="283">
        <v>1</v>
      </c>
      <c r="D1" s="283">
        <v>5</v>
      </c>
      <c r="E1" s="283">
        <v>9</v>
      </c>
      <c r="F1" s="283">
        <v>13</v>
      </c>
    </row>
    <row r="2" spans="1:6">
      <c r="A2" s="256" t="s">
        <v>315</v>
      </c>
      <c r="B2" s="314">
        <v>44651</v>
      </c>
      <c r="C2" s="314">
        <v>44561</v>
      </c>
      <c r="D2" s="314">
        <v>44196</v>
      </c>
      <c r="E2" s="314">
        <v>43830</v>
      </c>
      <c r="F2" s="314">
        <v>43465</v>
      </c>
    </row>
    <row r="3" spans="1:6">
      <c r="A3" s="258"/>
      <c r="B3" s="259"/>
      <c r="C3" s="259"/>
      <c r="D3" s="259"/>
      <c r="E3" s="259"/>
      <c r="F3" s="259"/>
    </row>
    <row r="4" spans="1:6">
      <c r="A4" s="260" t="s">
        <v>384</v>
      </c>
      <c r="B4" s="259"/>
      <c r="C4" s="259"/>
      <c r="D4" s="259"/>
      <c r="E4" s="259"/>
      <c r="F4" s="259"/>
    </row>
    <row r="5" spans="1:6">
      <c r="A5" s="276" t="s">
        <v>51</v>
      </c>
      <c r="B5" s="286">
        <v>173013</v>
      </c>
      <c r="C5" s="286">
        <v>194598</v>
      </c>
      <c r="D5" s="286">
        <v>197845</v>
      </c>
      <c r="E5" s="286">
        <v>189825</v>
      </c>
      <c r="F5" s="286">
        <v>200859.04505350001</v>
      </c>
    </row>
    <row r="6" spans="1:6">
      <c r="A6" s="262" t="s">
        <v>398</v>
      </c>
      <c r="B6" s="296">
        <v>0</v>
      </c>
      <c r="C6" s="296">
        <v>0</v>
      </c>
      <c r="D6" s="296">
        <v>0</v>
      </c>
      <c r="E6" s="296">
        <v>-10159</v>
      </c>
      <c r="F6" s="296">
        <v>-8986</v>
      </c>
    </row>
    <row r="7" spans="1:6">
      <c r="A7" s="262" t="s">
        <v>436</v>
      </c>
      <c r="B7" s="296">
        <v>-5812</v>
      </c>
      <c r="C7" s="296">
        <v>0</v>
      </c>
      <c r="D7" s="296">
        <v>0</v>
      </c>
      <c r="E7" s="296">
        <v>0</v>
      </c>
      <c r="F7" s="296">
        <v>0</v>
      </c>
    </row>
    <row r="8" spans="1:6">
      <c r="A8" s="262" t="s">
        <v>399</v>
      </c>
      <c r="B8" s="297">
        <v>-680</v>
      </c>
      <c r="C8" s="297">
        <v>-673</v>
      </c>
      <c r="D8" s="297">
        <v>-173</v>
      </c>
      <c r="E8" s="297">
        <v>-181</v>
      </c>
      <c r="F8" s="297">
        <v>-130</v>
      </c>
    </row>
    <row r="9" spans="1:6">
      <c r="A9" s="260" t="s">
        <v>396</v>
      </c>
      <c r="B9" s="298">
        <v>166521</v>
      </c>
      <c r="C9" s="298">
        <v>193925</v>
      </c>
      <c r="D9" s="298">
        <v>197672</v>
      </c>
      <c r="E9" s="298">
        <v>179485</v>
      </c>
      <c r="F9" s="298">
        <v>191743.04505350001</v>
      </c>
    </row>
    <row r="10" spans="1:6">
      <c r="A10" s="262" t="s">
        <v>17</v>
      </c>
      <c r="B10" s="296">
        <v>-8490</v>
      </c>
      <c r="C10" s="296">
        <v>-8435</v>
      </c>
      <c r="D10" s="296">
        <v>-13092</v>
      </c>
      <c r="E10" s="296">
        <v>-10604</v>
      </c>
      <c r="F10" s="296">
        <v>-12152</v>
      </c>
    </row>
    <row r="11" spans="1:6">
      <c r="A11" s="262" t="s">
        <v>106</v>
      </c>
      <c r="B11" s="296">
        <v>0</v>
      </c>
      <c r="C11" s="296">
        <v>0</v>
      </c>
      <c r="D11" s="296">
        <v>0</v>
      </c>
      <c r="E11" s="296">
        <v>-296</v>
      </c>
      <c r="F11" s="296">
        <v>-191</v>
      </c>
    </row>
    <row r="12" spans="1:6">
      <c r="A12" s="262" t="s">
        <v>397</v>
      </c>
      <c r="B12" s="296">
        <v>0</v>
      </c>
      <c r="C12" s="296">
        <v>-26773</v>
      </c>
      <c r="D12" s="296">
        <v>-17990</v>
      </c>
      <c r="E12" s="296">
        <v>-14153</v>
      </c>
      <c r="F12" s="296">
        <v>-9069</v>
      </c>
    </row>
    <row r="13" spans="1:6">
      <c r="A13" s="262" t="s">
        <v>434</v>
      </c>
      <c r="B13" s="296">
        <v>1199</v>
      </c>
      <c r="C13" s="296">
        <v>920</v>
      </c>
      <c r="D13" s="296">
        <v>1890</v>
      </c>
      <c r="E13" s="296">
        <v>0</v>
      </c>
      <c r="F13" s="296">
        <v>0</v>
      </c>
    </row>
    <row r="14" spans="1:6">
      <c r="A14" s="262" t="s">
        <v>356</v>
      </c>
      <c r="B14" s="297">
        <v>4417</v>
      </c>
      <c r="C14" s="297">
        <v>-437</v>
      </c>
      <c r="D14" s="297">
        <v>-2520</v>
      </c>
      <c r="E14" s="297">
        <v>-1741</v>
      </c>
      <c r="F14" s="297">
        <v>-1537</v>
      </c>
    </row>
    <row r="15" spans="1:6">
      <c r="A15" s="260" t="s">
        <v>381</v>
      </c>
      <c r="B15" s="297">
        <v>163647</v>
      </c>
      <c r="C15" s="297">
        <v>159200</v>
      </c>
      <c r="D15" s="297">
        <v>165960</v>
      </c>
      <c r="E15" s="297">
        <v>152691</v>
      </c>
      <c r="F15" s="297">
        <v>168794.04505350001</v>
      </c>
    </row>
    <row r="16" spans="1:6">
      <c r="A16" s="262" t="s">
        <v>447</v>
      </c>
      <c r="B16" s="296">
        <v>89</v>
      </c>
      <c r="C16" s="296">
        <v>133</v>
      </c>
      <c r="D16" s="296">
        <v>173</v>
      </c>
      <c r="E16" s="296">
        <v>181</v>
      </c>
      <c r="F16" s="296">
        <v>130</v>
      </c>
    </row>
    <row r="17" spans="1:7">
      <c r="A17" s="262" t="s">
        <v>409</v>
      </c>
      <c r="B17" s="297">
        <v>12315</v>
      </c>
      <c r="C17" s="297">
        <v>13225</v>
      </c>
      <c r="D17" s="297">
        <v>13498</v>
      </c>
      <c r="E17" s="297">
        <v>0</v>
      </c>
      <c r="F17" s="297">
        <v>0</v>
      </c>
    </row>
    <row r="18" spans="1:7">
      <c r="A18" s="260" t="s">
        <v>124</v>
      </c>
      <c r="B18" s="297">
        <v>176051</v>
      </c>
      <c r="C18" s="297">
        <v>172558</v>
      </c>
      <c r="D18" s="297">
        <v>179631</v>
      </c>
      <c r="E18" s="297">
        <v>152872</v>
      </c>
      <c r="F18" s="297">
        <v>168924.04505350001</v>
      </c>
    </row>
    <row r="19" spans="1:7">
      <c r="A19" s="262" t="s">
        <v>442</v>
      </c>
      <c r="B19" s="296">
        <v>21359</v>
      </c>
      <c r="C19" s="296">
        <v>21863</v>
      </c>
      <c r="D19" s="296">
        <v>22562</v>
      </c>
      <c r="E19" s="296">
        <v>20083</v>
      </c>
      <c r="F19" s="296">
        <v>6531.6386470899997</v>
      </c>
    </row>
    <row r="20" spans="1:7">
      <c r="A20" s="262" t="s">
        <v>443</v>
      </c>
      <c r="B20" s="296">
        <v>-1089</v>
      </c>
      <c r="C20" s="296">
        <v>-1056</v>
      </c>
      <c r="D20" s="296">
        <v>-1007</v>
      </c>
      <c r="E20" s="296">
        <v>0</v>
      </c>
      <c r="F20" s="296">
        <v>0</v>
      </c>
    </row>
    <row r="21" spans="1:7" s="274" customFormat="1" ht="15">
      <c r="A21" s="262" t="s">
        <v>389</v>
      </c>
      <c r="B21" s="296">
        <v>0</v>
      </c>
      <c r="C21" s="296">
        <v>0</v>
      </c>
      <c r="D21" s="296">
        <v>0</v>
      </c>
      <c r="E21" s="296">
        <v>0</v>
      </c>
      <c r="F21" s="296">
        <v>0</v>
      </c>
      <c r="G21" s="268"/>
    </row>
    <row r="22" spans="1:7" s="274" customFormat="1" ht="15">
      <c r="A22" s="260" t="s">
        <v>383</v>
      </c>
      <c r="B22" s="298">
        <v>20270</v>
      </c>
      <c r="C22" s="298">
        <v>20807</v>
      </c>
      <c r="D22" s="298">
        <v>21555</v>
      </c>
      <c r="E22" s="298">
        <v>20083</v>
      </c>
      <c r="F22" s="298">
        <v>6531.6386470899997</v>
      </c>
      <c r="G22" s="268"/>
    </row>
    <row r="23" spans="1:7">
      <c r="A23" s="260" t="s">
        <v>441</v>
      </c>
      <c r="B23" s="299">
        <v>196321</v>
      </c>
      <c r="C23" s="299">
        <v>193365</v>
      </c>
      <c r="D23" s="299">
        <v>201186</v>
      </c>
      <c r="E23" s="299">
        <v>172955</v>
      </c>
      <c r="F23" s="299">
        <v>175455.68370059002</v>
      </c>
    </row>
    <row r="24" spans="1:7">
      <c r="A24" s="264"/>
      <c r="B24" s="284"/>
      <c r="C24" s="284"/>
      <c r="D24" s="284"/>
      <c r="E24" s="284"/>
      <c r="F24" s="284"/>
    </row>
    <row r="25" spans="1:7">
      <c r="A25" s="260" t="s">
        <v>411</v>
      </c>
      <c r="B25" s="290"/>
      <c r="C25" s="290"/>
      <c r="D25" s="290"/>
      <c r="E25" s="290"/>
      <c r="F25" s="290"/>
    </row>
    <row r="26" spans="1:7">
      <c r="A26" s="262" t="s">
        <v>386</v>
      </c>
      <c r="B26" s="286">
        <v>664568</v>
      </c>
      <c r="C26" s="286">
        <v>623395</v>
      </c>
      <c r="D26" s="286">
        <v>570554</v>
      </c>
      <c r="E26" s="286">
        <v>561602</v>
      </c>
      <c r="F26" s="286">
        <v>639788</v>
      </c>
    </row>
    <row r="27" spans="1:7">
      <c r="A27" s="264" t="s">
        <v>388</v>
      </c>
      <c r="B27" s="286">
        <v>72948</v>
      </c>
      <c r="C27" s="286">
        <v>69553</v>
      </c>
      <c r="D27" s="296">
        <v>60813</v>
      </c>
      <c r="E27" s="296">
        <v>49163</v>
      </c>
      <c r="F27" s="296">
        <v>50112</v>
      </c>
    </row>
    <row r="28" spans="1:7">
      <c r="A28" s="264" t="s">
        <v>392</v>
      </c>
      <c r="B28" s="286">
        <v>7505</v>
      </c>
      <c r="C28" s="286">
        <v>7761</v>
      </c>
      <c r="D28" s="296">
        <v>3462</v>
      </c>
      <c r="E28" s="296">
        <v>3347</v>
      </c>
      <c r="F28" s="296">
        <v>4405</v>
      </c>
    </row>
    <row r="29" spans="1:7">
      <c r="A29" s="262" t="s">
        <v>393</v>
      </c>
      <c r="B29" s="286">
        <v>8476</v>
      </c>
      <c r="C29" s="286">
        <v>4691</v>
      </c>
      <c r="D29" s="286">
        <v>8569</v>
      </c>
      <c r="E29" s="286">
        <v>10070</v>
      </c>
      <c r="F29" s="286">
        <v>4280</v>
      </c>
    </row>
    <row r="30" spans="1:7">
      <c r="A30" s="262" t="s">
        <v>37</v>
      </c>
      <c r="B30" s="286">
        <v>18925</v>
      </c>
      <c r="C30" s="286">
        <v>8958</v>
      </c>
      <c r="D30" s="286">
        <v>13063</v>
      </c>
      <c r="E30" s="286">
        <v>10609</v>
      </c>
      <c r="F30" s="286">
        <v>8928</v>
      </c>
    </row>
    <row r="31" spans="1:7">
      <c r="A31" s="262" t="s">
        <v>387</v>
      </c>
      <c r="B31" s="286">
        <v>2171</v>
      </c>
      <c r="C31" s="286">
        <v>2379</v>
      </c>
      <c r="D31" s="296">
        <v>842</v>
      </c>
      <c r="E31" s="296">
        <v>1477</v>
      </c>
      <c r="F31" s="296">
        <v>2228</v>
      </c>
    </row>
    <row r="32" spans="1:7">
      <c r="A32" s="262" t="s">
        <v>38</v>
      </c>
      <c r="B32" s="299">
        <v>96085</v>
      </c>
      <c r="C32" s="299">
        <v>96085</v>
      </c>
      <c r="D32" s="299">
        <v>88462</v>
      </c>
      <c r="E32" s="299">
        <v>83487</v>
      </c>
      <c r="F32" s="299">
        <v>86957</v>
      </c>
    </row>
    <row r="33" spans="1:12">
      <c r="A33" s="260" t="s">
        <v>412</v>
      </c>
      <c r="B33" s="299">
        <v>870678</v>
      </c>
      <c r="C33" s="299">
        <v>812822</v>
      </c>
      <c r="D33" s="299">
        <v>745765</v>
      </c>
      <c r="E33" s="299">
        <v>719755</v>
      </c>
      <c r="F33" s="299">
        <v>796698</v>
      </c>
    </row>
    <row r="34" spans="1:12">
      <c r="A34" s="280"/>
      <c r="B34" s="286"/>
      <c r="C34" s="286"/>
      <c r="D34" s="286"/>
      <c r="E34" s="286"/>
      <c r="F34" s="286"/>
    </row>
    <row r="35" spans="1:12">
      <c r="A35" s="260" t="s">
        <v>444</v>
      </c>
      <c r="B35" s="288"/>
      <c r="C35" s="284"/>
      <c r="D35" s="284"/>
      <c r="E35" s="284"/>
      <c r="F35" s="284"/>
    </row>
    <row r="36" spans="1:12">
      <c r="A36" s="262" t="s">
        <v>394</v>
      </c>
      <c r="B36" s="284">
        <v>0.19129134299662776</v>
      </c>
      <c r="C36" s="284">
        <v>0.19586086316472559</v>
      </c>
      <c r="D36" s="284">
        <v>0.22253655330735245</v>
      </c>
      <c r="E36" s="284">
        <v>0.21214257663093694</v>
      </c>
      <c r="F36" s="284">
        <v>0.2118945842098722</v>
      </c>
      <c r="G36" s="281"/>
      <c r="H36" s="281"/>
      <c r="I36" s="281"/>
      <c r="J36" s="281"/>
      <c r="K36" s="281"/>
      <c r="L36" s="281"/>
    </row>
    <row r="37" spans="1:12">
      <c r="A37" s="262" t="s">
        <v>100</v>
      </c>
      <c r="B37" s="284">
        <v>0.20220003034576825</v>
      </c>
      <c r="C37" s="284">
        <v>0.21229496749986632</v>
      </c>
      <c r="D37" s="284">
        <v>0.2408680622267596</v>
      </c>
      <c r="E37" s="284">
        <v>0.21239405109099627</v>
      </c>
      <c r="F37" s="284">
        <v>0.21199999999999999</v>
      </c>
      <c r="G37" s="281"/>
      <c r="H37" s="281"/>
      <c r="I37" s="281"/>
      <c r="J37" s="281"/>
      <c r="K37" s="281"/>
    </row>
    <row r="38" spans="1:12">
      <c r="A38" s="262" t="s">
        <v>379</v>
      </c>
      <c r="B38" s="284">
        <v>0.22886900513711669</v>
      </c>
      <c r="C38" s="284">
        <v>0.23789344099150228</v>
      </c>
      <c r="D38" s="284">
        <v>0.2697713667775104</v>
      </c>
      <c r="E38" s="284">
        <v>0.24029644496171618</v>
      </c>
      <c r="F38" s="284">
        <v>0.22025718402118252</v>
      </c>
    </row>
    <row r="39" spans="1:12">
      <c r="A39" s="262"/>
      <c r="B39" s="284"/>
      <c r="C39" s="284"/>
      <c r="D39" s="284"/>
      <c r="E39" s="284"/>
      <c r="F39" s="284"/>
    </row>
    <row r="40" spans="1:12">
      <c r="A40" s="260" t="s">
        <v>360</v>
      </c>
      <c r="B40" s="284"/>
      <c r="C40" s="284"/>
      <c r="D40" s="284"/>
      <c r="E40" s="284"/>
      <c r="F40" s="284"/>
    </row>
    <row r="41" spans="1:12">
      <c r="A41" s="262" t="s">
        <v>361</v>
      </c>
      <c r="B41" s="286">
        <v>1313520</v>
      </c>
      <c r="C41" s="286">
        <v>1256916</v>
      </c>
      <c r="D41" s="286">
        <v>1114450</v>
      </c>
      <c r="E41" s="286">
        <v>1022521</v>
      </c>
      <c r="F41" s="286">
        <v>1106368</v>
      </c>
    </row>
    <row r="42" spans="1:12">
      <c r="A42" s="262" t="s">
        <v>362</v>
      </c>
      <c r="B42" s="286">
        <v>13737</v>
      </c>
      <c r="C42" s="286">
        <v>4796</v>
      </c>
      <c r="D42" s="286">
        <v>9124</v>
      </c>
      <c r="E42" s="286">
        <v>10217</v>
      </c>
      <c r="F42" s="286">
        <v>8239</v>
      </c>
    </row>
    <row r="43" spans="1:12">
      <c r="A43" s="262" t="s">
        <v>363</v>
      </c>
      <c r="B43" s="286">
        <v>354</v>
      </c>
      <c r="C43" s="286">
        <v>720</v>
      </c>
      <c r="D43" s="286">
        <v>512</v>
      </c>
      <c r="E43" s="286">
        <v>577</v>
      </c>
      <c r="F43" s="286">
        <v>8194</v>
      </c>
    </row>
    <row r="44" spans="1:12">
      <c r="A44" s="262" t="s">
        <v>364</v>
      </c>
      <c r="B44" s="299">
        <v>76115</v>
      </c>
      <c r="C44" s="299">
        <v>102016</v>
      </c>
      <c r="D44" s="299">
        <v>65425</v>
      </c>
      <c r="E44" s="299">
        <v>52299</v>
      </c>
      <c r="F44" s="299">
        <v>68316</v>
      </c>
    </row>
    <row r="45" spans="1:12">
      <c r="A45" s="260" t="s">
        <v>365</v>
      </c>
      <c r="B45" s="300">
        <v>1403726</v>
      </c>
      <c r="C45" s="300">
        <v>1364448</v>
      </c>
      <c r="D45" s="300">
        <v>1189511</v>
      </c>
      <c r="E45" s="300">
        <v>1085614</v>
      </c>
      <c r="F45" s="300">
        <v>1191117</v>
      </c>
    </row>
    <row r="46" spans="1:12">
      <c r="A46" s="260" t="s">
        <v>124</v>
      </c>
      <c r="B46" s="299">
        <v>176051</v>
      </c>
      <c r="C46" s="299">
        <v>172558</v>
      </c>
      <c r="D46" s="299">
        <v>179631</v>
      </c>
      <c r="E46" s="299">
        <v>152872</v>
      </c>
      <c r="F46" s="299">
        <v>168924.04505350001</v>
      </c>
    </row>
    <row r="47" spans="1:12">
      <c r="A47" s="260" t="s">
        <v>360</v>
      </c>
      <c r="B47" s="301">
        <v>0.12541692609526361</v>
      </c>
      <c r="C47" s="301">
        <v>0.12646726002016934</v>
      </c>
      <c r="D47" s="301">
        <v>0.15101247487412894</v>
      </c>
      <c r="E47" s="301">
        <v>0.1408161648615438</v>
      </c>
      <c r="F47" s="301">
        <v>0.14181985905120992</v>
      </c>
    </row>
    <row r="48" spans="1:12">
      <c r="A48" s="266"/>
      <c r="B48" s="284"/>
      <c r="C48" s="284"/>
      <c r="D48" s="284"/>
      <c r="E48" s="284"/>
      <c r="F48" s="284"/>
    </row>
    <row r="49" spans="1:6">
      <c r="A49" s="260" t="s">
        <v>359</v>
      </c>
      <c r="B49" s="284"/>
      <c r="C49" s="284"/>
      <c r="D49" s="284"/>
      <c r="E49" s="284"/>
      <c r="F49" s="284"/>
    </row>
    <row r="50" spans="1:6">
      <c r="A50" s="262" t="s">
        <v>435</v>
      </c>
      <c r="B50" s="327">
        <v>2.7647163647163648E-2</v>
      </c>
      <c r="C50" s="327">
        <v>3.726214213238159E-2</v>
      </c>
      <c r="D50" s="327">
        <v>1.7207791849338738E-2</v>
      </c>
      <c r="E50" s="327">
        <v>1.4331638812475197E-3</v>
      </c>
      <c r="F50" s="327">
        <v>9.8557564359597616E-3</v>
      </c>
    </row>
    <row r="51" spans="1:6">
      <c r="A51" s="262" t="s">
        <v>410</v>
      </c>
      <c r="B51" s="284">
        <v>0.64926790528070155</v>
      </c>
      <c r="C51" s="284">
        <v>0.61865002770454169</v>
      </c>
      <c r="D51" s="284">
        <v>0.63593517897921559</v>
      </c>
      <c r="E51" s="284">
        <v>0.66529710543464693</v>
      </c>
      <c r="F51" s="284">
        <v>0.6842567234258059</v>
      </c>
    </row>
    <row r="53" spans="1:6" ht="21" customHeight="1">
      <c r="A53" s="341" t="s">
        <v>455</v>
      </c>
      <c r="B53" s="341"/>
      <c r="C53" s="341"/>
      <c r="D53" s="341"/>
      <c r="E53" s="341"/>
      <c r="F53" s="341"/>
    </row>
    <row r="54" spans="1:6">
      <c r="A54" s="270"/>
    </row>
    <row r="55" spans="1:6">
      <c r="A55" s="270"/>
    </row>
    <row r="61" spans="1:6">
      <c r="A61" s="266"/>
      <c r="B61" s="263"/>
      <c r="C61" s="263"/>
      <c r="D61" s="263"/>
      <c r="E61" s="263"/>
      <c r="F61" s="263"/>
    </row>
    <row r="62" spans="1:6">
      <c r="B62" s="267"/>
      <c r="C62" s="267"/>
      <c r="D62" s="267"/>
      <c r="E62" s="267"/>
      <c r="F62" s="267"/>
    </row>
    <row r="63" spans="1:6">
      <c r="A63" s="280"/>
      <c r="B63" s="269"/>
      <c r="C63" s="269"/>
      <c r="D63" s="269"/>
      <c r="E63" s="269"/>
      <c r="F63" s="269"/>
    </row>
    <row r="64" spans="1:6">
      <c r="A64" s="266"/>
      <c r="B64" s="263"/>
      <c r="C64" s="263"/>
      <c r="D64" s="263"/>
      <c r="E64" s="263"/>
      <c r="F64" s="263"/>
    </row>
    <row r="65" spans="1:6">
      <c r="A65" s="266"/>
      <c r="B65" s="263"/>
      <c r="C65" s="263"/>
      <c r="D65" s="263"/>
      <c r="E65" s="263"/>
      <c r="F65" s="263"/>
    </row>
    <row r="66" spans="1:6">
      <c r="A66" s="266"/>
      <c r="B66" s="263"/>
      <c r="C66" s="263"/>
      <c r="D66" s="263"/>
      <c r="E66" s="263"/>
      <c r="F66" s="263"/>
    </row>
  </sheetData>
  <mergeCells count="1">
    <mergeCell ref="A53:F53"/>
  </mergeCells>
  <pageMargins left="0.70866141732283472" right="0.70866141732283472" top="0.74803149606299213" bottom="0.74803149606299213" header="0.31496062992125984" footer="0.31496062992125984"/>
  <pageSetup paperSize="9" scale="81" firstPageNumber="8" orientation="portrait" useFirstPageNumber="1" r:id="rId1"/>
  <headerFooter>
    <oddFooter>&amp;L&amp;8______________________________________________________&amp;"-,Italic"
Arion Bank Factbook 31.03.2022&amp;C&amp;8&amp;P&amp;R&amp;8__________________________&amp;"-,Italic"____________________________
All amounts are in ISK millions</oddFooter>
  </headerFooter>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C"/>
  </sheetPr>
  <dimension ref="A1:K45"/>
  <sheetViews>
    <sheetView zoomScaleNormal="100" zoomScaleSheetLayoutView="100" workbookViewId="0"/>
  </sheetViews>
  <sheetFormatPr defaultColWidth="9.140625" defaultRowHeight="14.25"/>
  <cols>
    <col min="1" max="1" width="42.28515625" style="268" customWidth="1"/>
    <col min="2" max="10" width="9" style="268" customWidth="1"/>
    <col min="11" max="11" width="40.28515625" style="268" customWidth="1"/>
    <col min="12" max="16384" width="9.140625" style="268"/>
  </cols>
  <sheetData>
    <row r="1" spans="1:11" ht="27.75" customHeight="1">
      <c r="A1" s="254" t="s">
        <v>330</v>
      </c>
      <c r="B1" s="283"/>
      <c r="C1" s="283"/>
      <c r="D1" s="283"/>
      <c r="E1" s="283"/>
      <c r="F1" s="283"/>
      <c r="G1" s="283"/>
      <c r="H1" s="283"/>
      <c r="I1" s="283"/>
      <c r="J1" s="283"/>
    </row>
    <row r="2" spans="1:11">
      <c r="A2" s="256" t="s">
        <v>315</v>
      </c>
      <c r="B2" s="257" t="s">
        <v>445</v>
      </c>
      <c r="C2" s="257" t="s">
        <v>440</v>
      </c>
      <c r="D2" s="257" t="s">
        <v>439</v>
      </c>
      <c r="E2" s="257" t="s">
        <v>438</v>
      </c>
      <c r="F2" s="257" t="s">
        <v>437</v>
      </c>
      <c r="G2" s="257" t="s">
        <v>277</v>
      </c>
      <c r="H2" s="257" t="s">
        <v>276</v>
      </c>
      <c r="I2" s="257" t="s">
        <v>275</v>
      </c>
      <c r="J2" s="257" t="s">
        <v>274</v>
      </c>
    </row>
    <row r="3" spans="1:11">
      <c r="A3" s="258"/>
      <c r="B3" s="259"/>
      <c r="C3" s="259"/>
      <c r="D3" s="259"/>
      <c r="E3" s="259"/>
      <c r="F3" s="259"/>
      <c r="G3" s="259"/>
      <c r="H3" s="259"/>
      <c r="I3" s="259"/>
      <c r="J3" s="259"/>
    </row>
    <row r="4" spans="1:11">
      <c r="A4" s="260" t="s">
        <v>116</v>
      </c>
      <c r="B4" s="261"/>
      <c r="C4" s="261"/>
      <c r="D4" s="261"/>
      <c r="E4" s="261"/>
      <c r="F4" s="261"/>
      <c r="G4" s="261"/>
      <c r="H4" s="261"/>
      <c r="I4" s="261"/>
      <c r="J4" s="261"/>
    </row>
    <row r="5" spans="1:11">
      <c r="A5" s="262" t="s">
        <v>126</v>
      </c>
      <c r="B5" s="301">
        <v>0.12661209811458307</v>
      </c>
      <c r="C5" s="301">
        <v>0.13406718776498158</v>
      </c>
      <c r="D5" s="301">
        <v>0.16977472081610573</v>
      </c>
      <c r="E5" s="301">
        <v>0.16324825598395923</v>
      </c>
      <c r="F5" s="301">
        <v>0.12475210708973723</v>
      </c>
      <c r="G5" s="301">
        <v>0.11807112242885068</v>
      </c>
      <c r="H5" s="301">
        <v>8.3205051885147235E-2</v>
      </c>
      <c r="I5" s="301">
        <v>0.10545577479300038</v>
      </c>
      <c r="J5" s="301">
        <v>-4.6475285252499304E-2</v>
      </c>
    </row>
    <row r="6" spans="1:11">
      <c r="A6" s="262" t="s">
        <v>127</v>
      </c>
      <c r="B6" s="301">
        <v>1.7647090431614165E-2</v>
      </c>
      <c r="C6" s="301">
        <v>1.9760120251065549E-2</v>
      </c>
      <c r="D6" s="301">
        <v>2.5952281490330131E-2</v>
      </c>
      <c r="E6" s="301">
        <v>2.6319911172052679E-2</v>
      </c>
      <c r="F6" s="301">
        <v>2.0683638336906451E-2</v>
      </c>
      <c r="G6" s="301">
        <v>1.9269913105221192E-2</v>
      </c>
      <c r="H6" s="301">
        <v>1.3183747629745612E-2</v>
      </c>
      <c r="I6" s="301">
        <v>1.6686898241921266E-2</v>
      </c>
      <c r="J6" s="301">
        <v>-7.6302663482011868E-3</v>
      </c>
    </row>
    <row r="7" spans="1:11">
      <c r="A7" s="262" t="s">
        <v>449</v>
      </c>
      <c r="B7" s="301">
        <v>2.7647163647163648E-2</v>
      </c>
      <c r="C7" s="301">
        <v>3.2750437971827945E-2</v>
      </c>
      <c r="D7" s="301">
        <v>4.3166909561315886E-2</v>
      </c>
      <c r="E7" s="301">
        <v>4.1663557180780179E-2</v>
      </c>
      <c r="F7" s="301">
        <v>3.220497273256314E-2</v>
      </c>
      <c r="G7" s="301">
        <v>3.1269442478758722E-2</v>
      </c>
      <c r="H7" s="301">
        <v>2.1964936960187861E-2</v>
      </c>
      <c r="I7" s="301">
        <v>2.7496582515632279E-2</v>
      </c>
      <c r="J7" s="301">
        <v>-1.212155896871831E-2</v>
      </c>
    </row>
    <row r="8" spans="1:11" s="247" customFormat="1" ht="15">
      <c r="A8" s="262" t="s">
        <v>448</v>
      </c>
      <c r="B8" s="301">
        <v>6.8970596970596973E-2</v>
      </c>
      <c r="C8" s="301">
        <v>7.6498033128308329E-2</v>
      </c>
      <c r="D8" s="301">
        <v>7.8023219636804267E-2</v>
      </c>
      <c r="E8" s="301">
        <v>7.9979530698621515E-2</v>
      </c>
      <c r="F8" s="301">
        <v>6.9844101321142479E-2</v>
      </c>
      <c r="G8" s="301">
        <v>7.9858931989233994E-2</v>
      </c>
      <c r="H8" s="301">
        <v>7.2064488080172573E-2</v>
      </c>
      <c r="I8" s="301">
        <v>7.8706378977678959E-2</v>
      </c>
      <c r="J8" s="301">
        <v>5.0116588347865289E-2</v>
      </c>
    </row>
    <row r="9" spans="1:11">
      <c r="A9" s="262" t="s">
        <v>332</v>
      </c>
      <c r="B9" s="293">
        <v>3.6715097915350601</v>
      </c>
      <c r="C9" s="293">
        <v>4.264532984977139</v>
      </c>
      <c r="D9" s="293">
        <v>5.2307692307692308</v>
      </c>
      <c r="E9" s="293">
        <v>4.8934837092731831</v>
      </c>
      <c r="F9" s="293">
        <v>3.6090854751942616</v>
      </c>
      <c r="G9" s="293">
        <v>7.2577079697498545</v>
      </c>
      <c r="H9" s="293">
        <v>2.3071553228621293</v>
      </c>
      <c r="I9" s="293">
        <v>2.8626309662398137</v>
      </c>
      <c r="J9" s="293">
        <v>-3.3329658213891951</v>
      </c>
    </row>
    <row r="10" spans="1:11">
      <c r="A10" s="262" t="s">
        <v>322</v>
      </c>
      <c r="B10" s="293">
        <v>3.6108654453569171</v>
      </c>
      <c r="C10" s="293">
        <v>3.9190071848465053</v>
      </c>
      <c r="D10" s="293">
        <v>4.8340750158931973</v>
      </c>
      <c r="E10" s="293">
        <v>4.8088972431077694</v>
      </c>
      <c r="F10" s="293">
        <v>2.3927077106993426</v>
      </c>
      <c r="G10" s="293">
        <v>8.6242001163467137</v>
      </c>
      <c r="H10" s="293">
        <v>2.8859802210587553</v>
      </c>
      <c r="I10" s="293">
        <v>2.8888242142025611</v>
      </c>
      <c r="J10" s="293">
        <v>-5.5848952590959202</v>
      </c>
    </row>
    <row r="11" spans="1:11">
      <c r="A11" s="264"/>
      <c r="B11" s="285"/>
      <c r="C11" s="285"/>
      <c r="D11" s="285"/>
      <c r="E11" s="285"/>
      <c r="F11" s="285"/>
      <c r="G11" s="285"/>
      <c r="H11" s="285"/>
      <c r="I11" s="285"/>
      <c r="J11" s="285"/>
    </row>
    <row r="12" spans="1:11">
      <c r="A12" s="260" t="s">
        <v>9</v>
      </c>
      <c r="B12" s="285"/>
      <c r="C12" s="285"/>
      <c r="D12" s="285"/>
      <c r="E12" s="285"/>
      <c r="F12" s="285"/>
      <c r="G12" s="285"/>
      <c r="H12" s="285"/>
      <c r="I12" s="285"/>
      <c r="J12" s="285"/>
    </row>
    <row r="13" spans="1:11" s="274" customFormat="1" ht="15">
      <c r="A13" s="262" t="s">
        <v>366</v>
      </c>
      <c r="B13" s="284">
        <v>3.0948828498771508E-2</v>
      </c>
      <c r="C13" s="284">
        <v>2.8338292662148844E-2</v>
      </c>
      <c r="D13" s="284">
        <v>2.6614413100353843E-2</v>
      </c>
      <c r="E13" s="284">
        <v>2.8716572626646061E-2</v>
      </c>
      <c r="F13" s="284">
        <v>2.667089004280173E-2</v>
      </c>
      <c r="G13" s="284">
        <v>2.8688298691761378E-2</v>
      </c>
      <c r="H13" s="284">
        <v>2.8520840880803547E-2</v>
      </c>
      <c r="I13" s="284">
        <v>2.8555542118353375E-2</v>
      </c>
      <c r="J13" s="284">
        <v>2.7837300426285343E-2</v>
      </c>
      <c r="K13" s="268"/>
    </row>
    <row r="14" spans="1:11">
      <c r="A14" s="262" t="s">
        <v>333</v>
      </c>
      <c r="B14" s="284">
        <v>2.8710913002061487E-2</v>
      </c>
      <c r="C14" s="284">
        <v>2.637036101349045E-2</v>
      </c>
      <c r="D14" s="284">
        <v>2.4764314675594343E-2</v>
      </c>
      <c r="E14" s="284">
        <v>2.673099312092098E-2</v>
      </c>
      <c r="F14" s="284">
        <v>2.4953702503909637E-2</v>
      </c>
      <c r="G14" s="284">
        <v>2.6763838762732875E-2</v>
      </c>
      <c r="H14" s="284">
        <v>2.6426679732805727E-2</v>
      </c>
      <c r="I14" s="284">
        <v>2.6520746864331798E-2</v>
      </c>
      <c r="J14" s="284">
        <v>2.5564893652174871E-2</v>
      </c>
    </row>
    <row r="15" spans="1:11">
      <c r="A15" s="262" t="s">
        <v>404</v>
      </c>
      <c r="B15" s="284">
        <v>5.3117251817752301E-2</v>
      </c>
      <c r="C15" s="284">
        <v>5.1472768099564116E-2</v>
      </c>
      <c r="D15" s="284">
        <v>4.8825049212598427E-2</v>
      </c>
      <c r="E15" s="284">
        <v>5.0391404041181899E-2</v>
      </c>
      <c r="F15" s="284">
        <v>4.6185541069715508E-2</v>
      </c>
      <c r="G15" s="284">
        <v>5.1382920391221741E-2</v>
      </c>
      <c r="H15" s="284">
        <v>5.1838964388694904E-2</v>
      </c>
      <c r="I15" s="284">
        <v>5.1600446258154922E-2</v>
      </c>
      <c r="J15" s="284">
        <v>4.7560538785560366E-2</v>
      </c>
    </row>
    <row r="16" spans="1:11">
      <c r="A16" s="266"/>
      <c r="B16" s="284"/>
      <c r="C16" s="284"/>
      <c r="D16" s="284"/>
      <c r="E16" s="284"/>
      <c r="F16" s="284"/>
      <c r="G16" s="284"/>
      <c r="H16" s="284"/>
      <c r="I16" s="284"/>
      <c r="J16" s="284"/>
    </row>
    <row r="17" spans="1:10">
      <c r="A17" s="260" t="s">
        <v>117</v>
      </c>
      <c r="B17" s="284"/>
      <c r="C17" s="284"/>
      <c r="D17" s="284"/>
      <c r="E17" s="284"/>
      <c r="F17" s="284"/>
      <c r="G17" s="284"/>
      <c r="H17" s="284"/>
      <c r="I17" s="284"/>
      <c r="J17" s="284"/>
    </row>
    <row r="18" spans="1:10">
      <c r="A18" s="262" t="s">
        <v>128</v>
      </c>
      <c r="B18" s="284">
        <v>0.42724266225713103</v>
      </c>
      <c r="C18" s="284">
        <v>0.51641066036497307</v>
      </c>
      <c r="D18" s="284">
        <v>0.37528542646071189</v>
      </c>
      <c r="E18" s="284">
        <v>0.42468675019994667</v>
      </c>
      <c r="F18" s="284">
        <v>0.46178514163548906</v>
      </c>
      <c r="G18" s="284">
        <v>0.44905865561068442</v>
      </c>
      <c r="H18" s="284">
        <v>0.40209037811251153</v>
      </c>
      <c r="I18" s="284">
        <v>0.45473938704401623</v>
      </c>
      <c r="J18" s="284">
        <v>0.69151069518716579</v>
      </c>
    </row>
    <row r="19" spans="1:10">
      <c r="A19" s="262" t="s">
        <v>129</v>
      </c>
      <c r="B19" s="284">
        <v>1.8685597347374402E-2</v>
      </c>
      <c r="C19" s="284">
        <v>2.3660541753322235E-2</v>
      </c>
      <c r="D19" s="284">
        <v>1.7435175810409622E-2</v>
      </c>
      <c r="E19" s="284">
        <v>2.1248738543726109E-2</v>
      </c>
      <c r="F19" s="284">
        <v>2.0555705903520224E-2</v>
      </c>
      <c r="G19" s="284">
        <v>2.1941764822605299E-2</v>
      </c>
      <c r="H19" s="284">
        <v>1.7306845457759363E-2</v>
      </c>
      <c r="I19" s="284">
        <v>2.1585869440931889E-2</v>
      </c>
      <c r="J19" s="284">
        <v>2.1878022183792832E-2</v>
      </c>
    </row>
    <row r="20" spans="1:10">
      <c r="A20" s="262" t="s">
        <v>380</v>
      </c>
      <c r="B20" s="286">
        <v>753</v>
      </c>
      <c r="C20" s="286">
        <v>751</v>
      </c>
      <c r="D20" s="286">
        <v>763</v>
      </c>
      <c r="E20" s="286">
        <v>741</v>
      </c>
      <c r="F20" s="286">
        <v>772</v>
      </c>
      <c r="G20" s="286">
        <v>776</v>
      </c>
      <c r="H20" s="286">
        <v>783</v>
      </c>
      <c r="I20" s="286">
        <v>783</v>
      </c>
      <c r="J20" s="286">
        <v>814</v>
      </c>
    </row>
    <row r="21" spans="1:10">
      <c r="A21" s="264"/>
      <c r="B21" s="284"/>
      <c r="C21" s="284"/>
      <c r="D21" s="284"/>
      <c r="E21" s="284"/>
      <c r="F21" s="284"/>
      <c r="G21" s="284"/>
      <c r="H21" s="284"/>
      <c r="I21" s="284"/>
      <c r="J21" s="284"/>
    </row>
    <row r="22" spans="1:10">
      <c r="A22" s="260" t="s">
        <v>119</v>
      </c>
      <c r="B22" s="284"/>
      <c r="C22" s="284"/>
      <c r="D22" s="284"/>
      <c r="E22" s="284"/>
      <c r="F22" s="284"/>
      <c r="G22" s="284"/>
      <c r="H22" s="284"/>
      <c r="I22" s="284"/>
      <c r="J22" s="284"/>
    </row>
    <row r="23" spans="1:10">
      <c r="A23" s="262" t="s">
        <v>400</v>
      </c>
      <c r="B23" s="284">
        <v>1.6332522311564426E-2</v>
      </c>
      <c r="C23" s="284">
        <v>1.896302009774993E-2</v>
      </c>
      <c r="D23" s="284">
        <v>2.5602050548402481E-2</v>
      </c>
      <c r="E23" s="284">
        <v>2.7814102383831567E-2</v>
      </c>
      <c r="F23" s="284">
        <v>2.85397140372501E-2</v>
      </c>
      <c r="G23" s="284">
        <v>2.6172517778485695E-2</v>
      </c>
      <c r="H23" s="284">
        <v>3.1795703204400255E-2</v>
      </c>
      <c r="I23" s="284">
        <v>3.4434815083036946E-2</v>
      </c>
      <c r="J23" s="284">
        <v>2.9361980236569551E-2</v>
      </c>
    </row>
    <row r="24" spans="1:10">
      <c r="A24" s="262" t="s">
        <v>33</v>
      </c>
      <c r="B24" s="284">
        <v>0.64926790528070155</v>
      </c>
      <c r="C24" s="284">
        <v>0.61865002770454169</v>
      </c>
      <c r="D24" s="284">
        <v>0.57969068978940519</v>
      </c>
      <c r="E24" s="284">
        <v>0.61285470310036783</v>
      </c>
      <c r="F24" s="284">
        <v>0.63871007617520381</v>
      </c>
      <c r="G24" s="284">
        <v>0.63593517897921559</v>
      </c>
      <c r="H24" s="284">
        <v>0.58900224556226422</v>
      </c>
      <c r="I24" s="284">
        <v>0.60592142602785026</v>
      </c>
      <c r="J24" s="284">
        <v>0.60031317876445922</v>
      </c>
    </row>
    <row r="25" spans="1:10">
      <c r="A25" s="262"/>
      <c r="B25" s="284"/>
      <c r="C25" s="284"/>
      <c r="D25" s="284"/>
      <c r="E25" s="284"/>
      <c r="F25" s="284"/>
      <c r="G25" s="284"/>
      <c r="H25" s="284"/>
      <c r="I25" s="284"/>
      <c r="J25" s="284"/>
    </row>
    <row r="26" spans="1:10">
      <c r="A26" s="270" t="s">
        <v>401</v>
      </c>
      <c r="B26" s="284"/>
      <c r="C26" s="284"/>
      <c r="D26" s="284"/>
      <c r="E26" s="284"/>
      <c r="F26" s="284"/>
      <c r="G26" s="284"/>
      <c r="H26" s="284"/>
      <c r="I26" s="284"/>
      <c r="J26" s="284"/>
    </row>
    <row r="27" spans="1:10" s="270" customFormat="1" ht="12">
      <c r="B27" s="262"/>
      <c r="C27" s="262"/>
      <c r="D27" s="262"/>
      <c r="E27" s="262"/>
      <c r="F27" s="262"/>
      <c r="G27" s="262"/>
      <c r="H27" s="262"/>
      <c r="I27" s="262"/>
      <c r="J27" s="262"/>
    </row>
    <row r="28" spans="1:10">
      <c r="A28" s="264"/>
      <c r="B28" s="284"/>
      <c r="C28" s="284"/>
      <c r="D28" s="284"/>
      <c r="E28" s="284"/>
      <c r="F28" s="284"/>
      <c r="G28" s="288"/>
      <c r="H28" s="288"/>
      <c r="I28" s="288"/>
      <c r="J28" s="288"/>
    </row>
    <row r="29" spans="1:10">
      <c r="A29" s="260" t="s">
        <v>122</v>
      </c>
      <c r="B29" s="287"/>
      <c r="C29" s="287"/>
      <c r="D29" s="287"/>
      <c r="E29" s="287"/>
      <c r="F29" s="287"/>
      <c r="G29" s="288"/>
      <c r="H29" s="288"/>
      <c r="I29" s="288"/>
      <c r="J29" s="288"/>
    </row>
    <row r="30" spans="1:10">
      <c r="A30" s="262" t="s">
        <v>123</v>
      </c>
      <c r="B30" s="284">
        <v>0.12901645395465375</v>
      </c>
      <c r="C30" s="284">
        <v>0.14811122003495034</v>
      </c>
      <c r="D30" s="284">
        <v>0.14455178397910395</v>
      </c>
      <c r="E30" s="284">
        <v>0.1589636429322123</v>
      </c>
      <c r="F30" s="284">
        <v>0.1603760245806215</v>
      </c>
      <c r="G30" s="284">
        <v>0.16870809904613773</v>
      </c>
      <c r="H30" s="284">
        <v>0.15571388818782478</v>
      </c>
      <c r="I30" s="284">
        <v>0.15971846878280294</v>
      </c>
      <c r="J30" s="284">
        <v>0.1548037581451735</v>
      </c>
    </row>
    <row r="31" spans="1:10">
      <c r="A31" s="266"/>
      <c r="B31" s="287"/>
      <c r="C31" s="287"/>
      <c r="D31" s="287"/>
      <c r="E31" s="287"/>
      <c r="F31" s="287"/>
      <c r="G31" s="288"/>
      <c r="H31" s="288"/>
      <c r="I31" s="288"/>
      <c r="J31" s="288"/>
    </row>
    <row r="32" spans="1:10">
      <c r="A32" s="260" t="s">
        <v>118</v>
      </c>
      <c r="B32" s="287"/>
      <c r="C32" s="287"/>
      <c r="D32" s="287"/>
      <c r="E32" s="287"/>
      <c r="F32" s="287"/>
      <c r="G32" s="288"/>
      <c r="H32" s="288"/>
      <c r="I32" s="288"/>
      <c r="J32" s="288"/>
    </row>
    <row r="33" spans="1:10">
      <c r="A33" s="262" t="s">
        <v>312</v>
      </c>
      <c r="B33" s="284">
        <v>1.9541263097498669</v>
      </c>
      <c r="C33" s="284">
        <v>2.0283092783505157</v>
      </c>
      <c r="D33" s="284">
        <v>2.2101605304112391</v>
      </c>
      <c r="E33" s="284">
        <v>2.15092144510316</v>
      </c>
      <c r="F33" s="284">
        <v>1.9156505782649638</v>
      </c>
      <c r="G33" s="284">
        <v>1.8848926289476235</v>
      </c>
      <c r="H33" s="284">
        <v>2.1260960593685869</v>
      </c>
      <c r="I33" s="284">
        <v>2.0629835602232638</v>
      </c>
      <c r="J33" s="284">
        <v>2.2417978111755192</v>
      </c>
    </row>
    <row r="34" spans="1:10">
      <c r="A34" s="262" t="s">
        <v>41</v>
      </c>
      <c r="B34" s="284">
        <v>1.4360157370298194</v>
      </c>
      <c r="C34" s="284">
        <v>1.4283314720905114</v>
      </c>
      <c r="D34" s="284">
        <v>1.3986147018739883</v>
      </c>
      <c r="E34" s="284">
        <v>1.3964479418645823</v>
      </c>
      <c r="F34" s="284">
        <v>1.4128362642184493</v>
      </c>
      <c r="G34" s="284">
        <v>1.4477590671752072</v>
      </c>
      <c r="H34" s="284">
        <v>1.3400957464808358</v>
      </c>
      <c r="I34" s="284">
        <v>1.4030673467001287</v>
      </c>
      <c r="J34" s="284">
        <v>1.4441047111875871</v>
      </c>
    </row>
    <row r="35" spans="1:10">
      <c r="A35" s="262" t="s">
        <v>239</v>
      </c>
      <c r="B35" s="284">
        <v>1.1012214582490716</v>
      </c>
      <c r="C35" s="284">
        <v>1.1184147093104859</v>
      </c>
      <c r="D35" s="284">
        <v>1.0664425406904037</v>
      </c>
      <c r="E35" s="284">
        <v>1.1204867120463549</v>
      </c>
      <c r="F35" s="284">
        <v>1.1514918824045635</v>
      </c>
      <c r="G35" s="284">
        <v>1.1772497290754789</v>
      </c>
      <c r="H35" s="284">
        <v>1.0861834444182721</v>
      </c>
      <c r="I35" s="284">
        <v>1.1302659866332048</v>
      </c>
      <c r="J35" s="284">
        <v>1.1670721215177857</v>
      </c>
    </row>
    <row r="36" spans="1:10">
      <c r="A36" s="262" t="s">
        <v>120</v>
      </c>
      <c r="B36" s="284">
        <v>0.64494496061162254</v>
      </c>
      <c r="C36" s="284">
        <v>0.64444516543230268</v>
      </c>
      <c r="D36" s="284">
        <v>0.61263032401171558</v>
      </c>
      <c r="E36" s="284">
        <v>0.6615976074858021</v>
      </c>
      <c r="F36" s="284">
        <v>0.66144467626003689</v>
      </c>
      <c r="G36" s="284">
        <v>0.64562807951713619</v>
      </c>
      <c r="H36" s="284">
        <v>0.65347871944880753</v>
      </c>
      <c r="I36" s="284">
        <v>0.63276787279528446</v>
      </c>
      <c r="J36" s="284">
        <v>0.61979895119963857</v>
      </c>
    </row>
    <row r="37" spans="1:10">
      <c r="A37" s="262" t="s">
        <v>121</v>
      </c>
      <c r="B37" s="284">
        <v>0.21592229510218214</v>
      </c>
      <c r="C37" s="284">
        <v>0.19972314066243707</v>
      </c>
      <c r="D37" s="284">
        <v>0.20349746946448943</v>
      </c>
      <c r="E37" s="284">
        <v>0.18257589358040802</v>
      </c>
      <c r="F37" s="284">
        <v>0.17286485002126528</v>
      </c>
      <c r="G37" s="284">
        <v>0.1746496534584866</v>
      </c>
      <c r="H37" s="284">
        <v>0.16592683648614809</v>
      </c>
      <c r="I37" s="284">
        <v>0.17261838357667639</v>
      </c>
      <c r="J37" s="284">
        <v>0.17170514528172001</v>
      </c>
    </row>
    <row r="38" spans="1:10">
      <c r="B38" s="287"/>
      <c r="C38" s="287"/>
      <c r="D38" s="287"/>
      <c r="E38" s="287"/>
      <c r="F38" s="287"/>
      <c r="G38" s="288"/>
      <c r="H38" s="288"/>
      <c r="I38" s="288"/>
      <c r="J38" s="288"/>
    </row>
    <row r="39" spans="1:10">
      <c r="A39" s="260" t="s">
        <v>334</v>
      </c>
      <c r="B39" s="288"/>
      <c r="C39" s="288"/>
      <c r="D39" s="288"/>
      <c r="E39" s="288"/>
      <c r="F39" s="288"/>
      <c r="G39" s="288"/>
      <c r="H39" s="288"/>
      <c r="I39" s="288"/>
      <c r="J39" s="288"/>
    </row>
    <row r="40" spans="1:10">
      <c r="A40" s="262" t="s">
        <v>394</v>
      </c>
      <c r="B40" s="284">
        <v>0.19129134299662776</v>
      </c>
      <c r="C40" s="284">
        <v>0.19586086316472559</v>
      </c>
      <c r="D40" s="284">
        <v>0.20327626846535379</v>
      </c>
      <c r="E40" s="284">
        <v>0.22668956217867545</v>
      </c>
      <c r="F40" s="284">
        <v>0.21993410708974187</v>
      </c>
      <c r="G40" s="284">
        <v>0.22253655330735245</v>
      </c>
      <c r="H40" s="284">
        <v>0.22501751108834661</v>
      </c>
      <c r="I40" s="284">
        <v>0.22948000279193131</v>
      </c>
      <c r="J40" s="284">
        <v>0.22456246174803013</v>
      </c>
    </row>
    <row r="41" spans="1:10">
      <c r="A41" s="262" t="s">
        <v>100</v>
      </c>
      <c r="B41" s="284">
        <v>0.20220003034576825</v>
      </c>
      <c r="C41" s="284">
        <v>0.21229496749986632</v>
      </c>
      <c r="D41" s="284">
        <v>0.22119462569433687</v>
      </c>
      <c r="E41" s="284">
        <v>0.24414247333569752</v>
      </c>
      <c r="F41" s="284">
        <v>0.23725305804070698</v>
      </c>
      <c r="G41" s="284">
        <v>0.2408680622267596</v>
      </c>
      <c r="H41" s="284">
        <v>0.24514017622760767</v>
      </c>
      <c r="I41" s="284">
        <v>0.25024638793885673</v>
      </c>
      <c r="J41" s="284">
        <v>0.24554244544335807</v>
      </c>
    </row>
    <row r="42" spans="1:10">
      <c r="A42" s="262" t="s">
        <v>109</v>
      </c>
      <c r="B42" s="284">
        <v>2.6668974791348443E-2</v>
      </c>
      <c r="C42" s="284">
        <v>2.5598473491635965E-2</v>
      </c>
      <c r="D42" s="284">
        <v>3.2343910589943431E-2</v>
      </c>
      <c r="E42" s="284">
        <v>2.7684574817586821E-2</v>
      </c>
      <c r="F42" s="284">
        <v>3.146217992994424E-2</v>
      </c>
      <c r="G42" s="284">
        <v>2.8903304550750797E-2</v>
      </c>
      <c r="H42" s="284">
        <v>3.0745707375964854E-2</v>
      </c>
      <c r="I42" s="284">
        <v>3.0416695749284517E-2</v>
      </c>
      <c r="J42" s="284">
        <v>2.9526189181871387E-2</v>
      </c>
    </row>
    <row r="43" spans="1:10">
      <c r="A43" s="262" t="s">
        <v>379</v>
      </c>
      <c r="B43" s="284">
        <v>0.22900000000000001</v>
      </c>
      <c r="C43" s="284">
        <v>0.23499999999999999</v>
      </c>
      <c r="D43" s="284">
        <v>0.254</v>
      </c>
      <c r="E43" s="284">
        <v>0.26500000000000001</v>
      </c>
      <c r="F43" s="284">
        <v>0.26471284135102024</v>
      </c>
      <c r="G43" s="284">
        <v>0.2697713667775104</v>
      </c>
      <c r="H43" s="284">
        <v>0.27600000000000002</v>
      </c>
      <c r="I43" s="284">
        <v>0</v>
      </c>
      <c r="J43" s="284">
        <v>0.27500000000000002</v>
      </c>
    </row>
    <row r="44" spans="1:10">
      <c r="A44" s="262" t="s">
        <v>360</v>
      </c>
      <c r="B44" s="284">
        <v>0.12541684259294192</v>
      </c>
      <c r="C44" s="284">
        <v>0.12646726002016934</v>
      </c>
      <c r="D44" s="284">
        <v>0.12398576124444818</v>
      </c>
      <c r="E44" s="284">
        <v>0.14630273096290206</v>
      </c>
      <c r="F44" s="284">
        <v>0.14663813289505809</v>
      </c>
      <c r="G44" s="284">
        <v>0.15101247487412894</v>
      </c>
      <c r="H44" s="284">
        <v>0.14330547594361481</v>
      </c>
      <c r="I44" s="284">
        <v>0.14865644831781344</v>
      </c>
      <c r="J44" s="284">
        <v>0.14504464168853545</v>
      </c>
    </row>
    <row r="45" spans="1:10">
      <c r="A45" s="270"/>
    </row>
  </sheetData>
  <pageMargins left="0.70866141732283472" right="0.70866141732283472" top="0.74803149606299213" bottom="0.74803149606299213" header="0.31496062992125984" footer="0.31496062992125984"/>
  <pageSetup paperSize="9" firstPageNumber="10" fitToHeight="2" orientation="landscape" useFirstPageNumber="1" r:id="rId1"/>
  <headerFooter>
    <oddFooter xml:space="preserve">&amp;L&amp;8______________________________________________________
&amp;"-,Italic"Arion Bank Factbook 31.03.2022&amp;C&amp;8&amp;P&amp;R&amp;8______________________________________________________
</oddFooter>
  </headerFooter>
  <rowBreaks count="1" manualBreakCount="1">
    <brk id="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C"/>
    <pageSetUpPr fitToPage="1"/>
  </sheetPr>
  <dimension ref="A1:R50"/>
  <sheetViews>
    <sheetView zoomScaleNormal="100" workbookViewId="0"/>
  </sheetViews>
  <sheetFormatPr defaultColWidth="9.140625" defaultRowHeight="14.25"/>
  <cols>
    <col min="1" max="1" width="45.7109375" style="268" customWidth="1"/>
    <col min="2" max="17" width="9.140625" style="268"/>
    <col min="18" max="18" width="12" style="268" bestFit="1" customWidth="1"/>
    <col min="19" max="16384" width="9.140625" style="268"/>
  </cols>
  <sheetData>
    <row r="1" spans="1:10" ht="27.75" customHeight="1">
      <c r="A1" s="254" t="s">
        <v>326</v>
      </c>
      <c r="B1" s="256"/>
      <c r="C1" s="283"/>
      <c r="D1" s="283"/>
      <c r="E1" s="283"/>
      <c r="F1" s="283"/>
      <c r="G1" s="283"/>
      <c r="H1" s="283"/>
      <c r="I1" s="283"/>
      <c r="J1" s="283"/>
    </row>
    <row r="2" spans="1:10">
      <c r="A2" s="256" t="s">
        <v>315</v>
      </c>
      <c r="B2" s="257" t="s">
        <v>445</v>
      </c>
      <c r="C2" s="257" t="s">
        <v>440</v>
      </c>
      <c r="D2" s="257" t="s">
        <v>439</v>
      </c>
      <c r="E2" s="257" t="s">
        <v>438</v>
      </c>
      <c r="F2" s="257" t="s">
        <v>437</v>
      </c>
      <c r="G2" s="257" t="s">
        <v>277</v>
      </c>
      <c r="H2" s="257" t="s">
        <v>276</v>
      </c>
      <c r="I2" s="257" t="s">
        <v>275</v>
      </c>
      <c r="J2" s="257" t="s">
        <v>274</v>
      </c>
    </row>
    <row r="3" spans="1:10">
      <c r="A3" s="258"/>
      <c r="B3" s="259"/>
      <c r="C3" s="259"/>
      <c r="D3" s="259"/>
      <c r="E3" s="259"/>
      <c r="F3" s="259"/>
      <c r="G3" s="259"/>
      <c r="H3" s="259"/>
      <c r="I3" s="259"/>
      <c r="J3" s="259"/>
    </row>
    <row r="4" spans="1:10">
      <c r="A4" s="262" t="s">
        <v>81</v>
      </c>
      <c r="B4" s="290">
        <v>17526</v>
      </c>
      <c r="C4" s="290">
        <v>15224</v>
      </c>
      <c r="D4" s="290">
        <v>12810</v>
      </c>
      <c r="E4" s="290">
        <v>14145</v>
      </c>
      <c r="F4" s="290">
        <v>11779</v>
      </c>
      <c r="G4" s="290">
        <v>12706</v>
      </c>
      <c r="H4" s="290">
        <v>13145</v>
      </c>
      <c r="I4" s="290">
        <v>13835</v>
      </c>
      <c r="J4" s="290">
        <v>12044</v>
      </c>
    </row>
    <row r="5" spans="1:10">
      <c r="A5" s="262" t="s">
        <v>82</v>
      </c>
      <c r="B5" s="291">
        <v>-7998</v>
      </c>
      <c r="C5" s="291">
        <v>-6456</v>
      </c>
      <c r="D5" s="291">
        <v>-4873</v>
      </c>
      <c r="E5" s="291">
        <v>-6129</v>
      </c>
      <c r="F5" s="291">
        <v>-4437</v>
      </c>
      <c r="G5" s="291">
        <v>-4647</v>
      </c>
      <c r="H5" s="291">
        <v>-5156</v>
      </c>
      <c r="I5" s="291">
        <v>-5978</v>
      </c>
      <c r="J5" s="291">
        <v>-4791</v>
      </c>
    </row>
    <row r="6" spans="1:10">
      <c r="A6" s="260" t="s">
        <v>0</v>
      </c>
      <c r="B6" s="321">
        <v>9528</v>
      </c>
      <c r="C6" s="321">
        <v>8768</v>
      </c>
      <c r="D6" s="321">
        <v>7937</v>
      </c>
      <c r="E6" s="321">
        <v>8016</v>
      </c>
      <c r="F6" s="321">
        <v>7342</v>
      </c>
      <c r="G6" s="321">
        <v>8059</v>
      </c>
      <c r="H6" s="321">
        <v>7989</v>
      </c>
      <c r="I6" s="321">
        <v>7857</v>
      </c>
      <c r="J6" s="321">
        <v>7253</v>
      </c>
    </row>
    <row r="7" spans="1:10">
      <c r="A7" s="262" t="s">
        <v>317</v>
      </c>
      <c r="B7" s="289">
        <v>4068</v>
      </c>
      <c r="C7" s="289">
        <v>4662</v>
      </c>
      <c r="D7" s="289">
        <v>4219</v>
      </c>
      <c r="E7" s="289">
        <v>4099</v>
      </c>
      <c r="F7" s="289">
        <v>3726</v>
      </c>
      <c r="G7" s="289">
        <v>3530</v>
      </c>
      <c r="H7" s="289">
        <v>3117</v>
      </c>
      <c r="I7" s="289">
        <v>3097</v>
      </c>
      <c r="J7" s="289">
        <v>3481</v>
      </c>
    </row>
    <row r="8" spans="1:10">
      <c r="A8" s="262" t="s">
        <v>318</v>
      </c>
      <c r="B8" s="297">
        <v>-516</v>
      </c>
      <c r="C8" s="297">
        <v>-583</v>
      </c>
      <c r="D8" s="297">
        <v>-464</v>
      </c>
      <c r="E8" s="297">
        <v>-537</v>
      </c>
      <c r="F8" s="297">
        <v>-449</v>
      </c>
      <c r="G8" s="297">
        <v>-414</v>
      </c>
      <c r="H8" s="297">
        <v>-355</v>
      </c>
      <c r="I8" s="297">
        <v>-409</v>
      </c>
      <c r="J8" s="297">
        <v>-405</v>
      </c>
    </row>
    <row r="9" spans="1:10">
      <c r="A9" s="260" t="s">
        <v>316</v>
      </c>
      <c r="B9" s="321">
        <v>3552</v>
      </c>
      <c r="C9" s="321">
        <v>4079</v>
      </c>
      <c r="D9" s="321">
        <v>3755</v>
      </c>
      <c r="E9" s="321">
        <v>3562</v>
      </c>
      <c r="F9" s="321">
        <v>3277</v>
      </c>
      <c r="G9" s="321">
        <v>3116</v>
      </c>
      <c r="H9" s="321">
        <v>2762</v>
      </c>
      <c r="I9" s="321">
        <v>2688</v>
      </c>
      <c r="J9" s="321">
        <v>3076</v>
      </c>
    </row>
    <row r="10" spans="1:10">
      <c r="A10" s="262" t="s">
        <v>391</v>
      </c>
      <c r="B10" s="290">
        <v>5</v>
      </c>
      <c r="C10" s="290">
        <v>865</v>
      </c>
      <c r="D10" s="290">
        <v>992</v>
      </c>
      <c r="E10" s="290">
        <v>914</v>
      </c>
      <c r="F10" s="290">
        <v>671</v>
      </c>
      <c r="G10" s="290">
        <v>766</v>
      </c>
      <c r="H10" s="290">
        <v>1043</v>
      </c>
      <c r="I10" s="290">
        <v>761</v>
      </c>
      <c r="J10" s="290">
        <v>501</v>
      </c>
    </row>
    <row r="11" spans="1:10">
      <c r="A11" s="262" t="s">
        <v>427</v>
      </c>
      <c r="B11" s="290">
        <v>991</v>
      </c>
      <c r="C11" s="290">
        <v>1151</v>
      </c>
      <c r="D11" s="290">
        <v>1366</v>
      </c>
      <c r="E11" s="290">
        <v>2203</v>
      </c>
      <c r="F11" s="290">
        <v>1500</v>
      </c>
      <c r="G11" s="290">
        <v>1362</v>
      </c>
      <c r="H11" s="290">
        <v>692</v>
      </c>
      <c r="I11" s="290">
        <v>2691</v>
      </c>
      <c r="J11" s="290">
        <v>-2000</v>
      </c>
    </row>
    <row r="12" spans="1:10">
      <c r="A12" s="262" t="s">
        <v>428</v>
      </c>
      <c r="B12" s="290">
        <v>203</v>
      </c>
      <c r="C12" s="290">
        <v>-11</v>
      </c>
      <c r="D12" s="290">
        <v>7</v>
      </c>
      <c r="E12" s="290">
        <v>25</v>
      </c>
      <c r="F12" s="290">
        <v>1</v>
      </c>
      <c r="G12" s="290">
        <v>-22</v>
      </c>
      <c r="H12" s="290">
        <v>51</v>
      </c>
      <c r="I12" s="290">
        <v>-5</v>
      </c>
      <c r="J12" s="290">
        <v>-24</v>
      </c>
    </row>
    <row r="13" spans="1:10">
      <c r="A13" s="262" t="s">
        <v>10</v>
      </c>
      <c r="B13" s="291">
        <v>235</v>
      </c>
      <c r="C13" s="291">
        <v>382</v>
      </c>
      <c r="D13" s="291">
        <v>833</v>
      </c>
      <c r="E13" s="291">
        <v>284</v>
      </c>
      <c r="F13" s="291">
        <v>306</v>
      </c>
      <c r="G13" s="291">
        <v>1432</v>
      </c>
      <c r="H13" s="291">
        <v>475</v>
      </c>
      <c r="I13" s="291">
        <v>71</v>
      </c>
      <c r="J13" s="291">
        <v>170</v>
      </c>
    </row>
    <row r="14" spans="1:10">
      <c r="A14" s="320" t="s">
        <v>429</v>
      </c>
      <c r="B14" s="311">
        <v>1434</v>
      </c>
      <c r="C14" s="311">
        <v>2387</v>
      </c>
      <c r="D14" s="311">
        <v>3198</v>
      </c>
      <c r="E14" s="311">
        <v>3426</v>
      </c>
      <c r="F14" s="311">
        <v>2478</v>
      </c>
      <c r="G14" s="311">
        <v>3538</v>
      </c>
      <c r="H14" s="311">
        <v>2261</v>
      </c>
      <c r="I14" s="311">
        <v>3518</v>
      </c>
      <c r="J14" s="311">
        <v>-1353</v>
      </c>
    </row>
    <row r="15" spans="1:10">
      <c r="A15" s="260" t="s">
        <v>4</v>
      </c>
      <c r="B15" s="321">
        <v>14514</v>
      </c>
      <c r="C15" s="321">
        <v>15234</v>
      </c>
      <c r="D15" s="321">
        <v>14890</v>
      </c>
      <c r="E15" s="321">
        <v>15004</v>
      </c>
      <c r="F15" s="321">
        <v>13097</v>
      </c>
      <c r="G15" s="321">
        <v>14713</v>
      </c>
      <c r="H15" s="321">
        <v>13012</v>
      </c>
      <c r="I15" s="321">
        <v>14063</v>
      </c>
      <c r="J15" s="321">
        <v>8976</v>
      </c>
    </row>
    <row r="16" spans="1:10" ht="18" customHeight="1">
      <c r="A16" s="262" t="s">
        <v>313</v>
      </c>
      <c r="B16" s="290">
        <v>-3540</v>
      </c>
      <c r="C16" s="290">
        <v>-4893</v>
      </c>
      <c r="D16" s="290">
        <v>-2899</v>
      </c>
      <c r="E16" s="290">
        <v>-3575</v>
      </c>
      <c r="F16" s="290">
        <v>-3271</v>
      </c>
      <c r="G16" s="290">
        <v>-3121</v>
      </c>
      <c r="H16" s="290">
        <v>-2504</v>
      </c>
      <c r="I16" s="290">
        <v>-3577</v>
      </c>
      <c r="J16" s="290">
        <v>-3130</v>
      </c>
    </row>
    <row r="17" spans="1:18">
      <c r="A17" s="262" t="s">
        <v>6</v>
      </c>
      <c r="B17" s="290">
        <v>-2661</v>
      </c>
      <c r="C17" s="290">
        <v>-2974</v>
      </c>
      <c r="D17" s="290">
        <v>-2689</v>
      </c>
      <c r="E17" s="290">
        <v>-2797</v>
      </c>
      <c r="F17" s="290">
        <v>-2777</v>
      </c>
      <c r="G17" s="290">
        <v>-3486</v>
      </c>
      <c r="H17" s="290">
        <v>-2728</v>
      </c>
      <c r="I17" s="290">
        <v>-2818</v>
      </c>
      <c r="J17" s="290">
        <v>-3077</v>
      </c>
    </row>
    <row r="18" spans="1:18">
      <c r="A18" s="260" t="s">
        <v>283</v>
      </c>
      <c r="B18" s="321">
        <v>-6201</v>
      </c>
      <c r="C18" s="321">
        <v>-7867</v>
      </c>
      <c r="D18" s="321">
        <v>-5588</v>
      </c>
      <c r="E18" s="321">
        <v>-6372</v>
      </c>
      <c r="F18" s="321">
        <v>-6048</v>
      </c>
      <c r="G18" s="321">
        <v>-6607</v>
      </c>
      <c r="H18" s="321">
        <v>-5232</v>
      </c>
      <c r="I18" s="321">
        <v>-6395</v>
      </c>
      <c r="J18" s="321">
        <v>-6207</v>
      </c>
    </row>
    <row r="19" spans="1:18">
      <c r="A19" s="262" t="s">
        <v>39</v>
      </c>
      <c r="B19" s="290">
        <v>-393</v>
      </c>
      <c r="C19" s="290">
        <v>-345</v>
      </c>
      <c r="D19" s="290">
        <v>-486</v>
      </c>
      <c r="E19" s="290">
        <v>-355</v>
      </c>
      <c r="F19" s="290">
        <v>-330</v>
      </c>
      <c r="G19" s="290">
        <v>-263</v>
      </c>
      <c r="H19" s="290">
        <v>-383</v>
      </c>
      <c r="I19" s="290">
        <v>-324</v>
      </c>
      <c r="J19" s="290">
        <v>-331</v>
      </c>
    </row>
    <row r="20" spans="1:18">
      <c r="A20" s="262" t="s">
        <v>319</v>
      </c>
      <c r="B20" s="291">
        <v>-495</v>
      </c>
      <c r="C20" s="291">
        <v>559</v>
      </c>
      <c r="D20" s="291">
        <v>718</v>
      </c>
      <c r="E20" s="291">
        <v>812</v>
      </c>
      <c r="F20" s="291">
        <v>1080</v>
      </c>
      <c r="G20" s="291">
        <v>74</v>
      </c>
      <c r="H20" s="291">
        <v>-1340</v>
      </c>
      <c r="I20" s="291">
        <v>-918</v>
      </c>
      <c r="J20" s="291">
        <v>-2860</v>
      </c>
    </row>
    <row r="21" spans="1:18">
      <c r="A21" s="260" t="s">
        <v>430</v>
      </c>
      <c r="B21" s="313">
        <v>7425</v>
      </c>
      <c r="C21" s="313">
        <v>7581</v>
      </c>
      <c r="D21" s="313">
        <v>9534</v>
      </c>
      <c r="E21" s="313">
        <v>9089</v>
      </c>
      <c r="F21" s="313">
        <v>7799</v>
      </c>
      <c r="G21" s="313">
        <v>7917</v>
      </c>
      <c r="H21" s="313">
        <v>6057</v>
      </c>
      <c r="I21" s="313">
        <v>6426</v>
      </c>
      <c r="J21" s="313">
        <v>-422</v>
      </c>
    </row>
    <row r="22" spans="1:18" ht="14.25" customHeight="1">
      <c r="A22" s="262" t="s">
        <v>395</v>
      </c>
      <c r="B22" s="291">
        <v>-1703</v>
      </c>
      <c r="C22" s="291">
        <v>-1588</v>
      </c>
      <c r="D22" s="291">
        <v>-1920</v>
      </c>
      <c r="E22" s="291">
        <v>-1408</v>
      </c>
      <c r="F22" s="291">
        <v>-1866</v>
      </c>
      <c r="G22" s="291">
        <v>193</v>
      </c>
      <c r="H22" s="291">
        <v>-1096</v>
      </c>
      <c r="I22" s="291">
        <v>-1468</v>
      </c>
      <c r="J22" s="291">
        <v>-860</v>
      </c>
    </row>
    <row r="23" spans="1:18" s="274" customFormat="1" ht="15">
      <c r="A23" s="260" t="s">
        <v>431</v>
      </c>
      <c r="B23" s="313">
        <v>5722</v>
      </c>
      <c r="C23" s="313">
        <v>5993</v>
      </c>
      <c r="D23" s="313">
        <v>7614</v>
      </c>
      <c r="E23" s="313">
        <v>7681</v>
      </c>
      <c r="F23" s="313">
        <v>5933</v>
      </c>
      <c r="G23" s="313">
        <v>8110</v>
      </c>
      <c r="H23" s="313">
        <v>4961</v>
      </c>
      <c r="I23" s="313">
        <v>4958</v>
      </c>
      <c r="J23" s="313">
        <v>-1282</v>
      </c>
    </row>
    <row r="24" spans="1:18">
      <c r="A24" s="262" t="s">
        <v>432</v>
      </c>
      <c r="B24" s="291">
        <v>96</v>
      </c>
      <c r="C24" s="291">
        <v>529</v>
      </c>
      <c r="D24" s="291">
        <v>624</v>
      </c>
      <c r="E24" s="291">
        <v>135</v>
      </c>
      <c r="F24" s="291">
        <v>106</v>
      </c>
      <c r="G24" s="291">
        <v>-2349</v>
      </c>
      <c r="H24" s="291">
        <v>-995</v>
      </c>
      <c r="I24" s="291">
        <v>-45</v>
      </c>
      <c r="J24" s="291">
        <v>-889</v>
      </c>
      <c r="R24" s="282"/>
    </row>
    <row r="25" spans="1:18">
      <c r="A25" s="260" t="s">
        <v>433</v>
      </c>
      <c r="B25" s="321">
        <v>5818</v>
      </c>
      <c r="C25" s="321">
        <v>6522</v>
      </c>
      <c r="D25" s="321">
        <v>8238</v>
      </c>
      <c r="E25" s="321">
        <v>7816</v>
      </c>
      <c r="F25" s="321">
        <v>6039</v>
      </c>
      <c r="G25" s="321">
        <v>5761</v>
      </c>
      <c r="H25" s="321">
        <v>3966</v>
      </c>
      <c r="I25" s="321">
        <v>4913</v>
      </c>
      <c r="J25" s="321">
        <v>-2171</v>
      </c>
    </row>
    <row r="26" spans="1:18" ht="1.5" customHeight="1">
      <c r="A26" s="260"/>
      <c r="B26" s="292"/>
      <c r="C26" s="292"/>
      <c r="D26" s="292"/>
      <c r="E26" s="292"/>
      <c r="F26" s="292"/>
      <c r="G26" s="292"/>
      <c r="H26" s="292"/>
      <c r="I26" s="292"/>
      <c r="J26" s="292"/>
    </row>
    <row r="27" spans="1:18">
      <c r="A27" s="276"/>
      <c r="B27" s="290"/>
      <c r="C27" s="290"/>
      <c r="D27" s="290"/>
      <c r="E27" s="290"/>
      <c r="F27" s="290"/>
      <c r="G27" s="290"/>
      <c r="H27" s="290"/>
      <c r="I27" s="290"/>
      <c r="J27" s="290"/>
      <c r="N27" s="272"/>
      <c r="O27" s="272"/>
      <c r="P27" s="272"/>
      <c r="Q27" s="272"/>
      <c r="R27" s="272"/>
    </row>
    <row r="28" spans="1:18">
      <c r="A28" s="260" t="s">
        <v>320</v>
      </c>
      <c r="B28" s="290"/>
      <c r="C28" s="290"/>
      <c r="D28" s="290"/>
      <c r="E28" s="290"/>
      <c r="F28" s="290"/>
      <c r="G28" s="290"/>
      <c r="H28" s="290"/>
      <c r="I28" s="290"/>
      <c r="J28" s="290"/>
    </row>
    <row r="29" spans="1:18">
      <c r="A29" s="262" t="s">
        <v>94</v>
      </c>
      <c r="B29" s="290">
        <v>5812</v>
      </c>
      <c r="C29" s="290">
        <v>6528</v>
      </c>
      <c r="D29" s="290">
        <v>8228</v>
      </c>
      <c r="E29" s="290">
        <v>7810</v>
      </c>
      <c r="F29" s="290">
        <v>6038</v>
      </c>
      <c r="G29" s="290">
        <v>5760</v>
      </c>
      <c r="H29" s="290">
        <v>3965</v>
      </c>
      <c r="I29" s="290">
        <v>4918</v>
      </c>
      <c r="J29" s="290">
        <v>-2167</v>
      </c>
    </row>
    <row r="30" spans="1:18">
      <c r="A30" s="262" t="s">
        <v>321</v>
      </c>
      <c r="B30" s="291">
        <v>6</v>
      </c>
      <c r="C30" s="291">
        <v>-6</v>
      </c>
      <c r="D30" s="291">
        <v>10</v>
      </c>
      <c r="E30" s="291">
        <v>6</v>
      </c>
      <c r="F30" s="291">
        <v>1</v>
      </c>
      <c r="G30" s="291">
        <v>1</v>
      </c>
      <c r="H30" s="291">
        <v>1</v>
      </c>
      <c r="I30" s="291">
        <v>-5</v>
      </c>
      <c r="J30" s="291">
        <v>-4</v>
      </c>
    </row>
    <row r="31" spans="1:18">
      <c r="A31" s="260" t="s">
        <v>314</v>
      </c>
      <c r="B31" s="321">
        <v>5818</v>
      </c>
      <c r="C31" s="321">
        <v>6522</v>
      </c>
      <c r="D31" s="321">
        <v>8238</v>
      </c>
      <c r="E31" s="321">
        <v>7816</v>
      </c>
      <c r="F31" s="321">
        <v>6039</v>
      </c>
      <c r="G31" s="321">
        <v>5761</v>
      </c>
      <c r="H31" s="321">
        <v>3966</v>
      </c>
      <c r="I31" s="321">
        <v>4913</v>
      </c>
      <c r="J31" s="321">
        <v>-2171</v>
      </c>
    </row>
    <row r="32" spans="1:18" ht="1.5" customHeight="1">
      <c r="A32" s="260"/>
      <c r="B32" s="292"/>
      <c r="C32" s="292"/>
      <c r="D32" s="292"/>
      <c r="E32" s="292"/>
      <c r="F32" s="292"/>
      <c r="G32" s="292"/>
      <c r="H32" s="292"/>
      <c r="I32" s="292"/>
      <c r="J32" s="292"/>
    </row>
    <row r="33" spans="1:10">
      <c r="A33" s="260"/>
      <c r="B33" s="285"/>
      <c r="C33" s="285"/>
      <c r="D33" s="285"/>
      <c r="E33" s="285"/>
      <c r="F33" s="285"/>
      <c r="G33" s="285"/>
      <c r="H33" s="285"/>
      <c r="I33" s="285"/>
      <c r="J33" s="285"/>
    </row>
    <row r="34" spans="1:10">
      <c r="A34" s="260" t="s">
        <v>332</v>
      </c>
      <c r="B34" s="290">
        <v>6201</v>
      </c>
      <c r="C34" s="290">
        <v>7867</v>
      </c>
      <c r="D34" s="290">
        <v>5588</v>
      </c>
      <c r="E34" s="290">
        <v>6372</v>
      </c>
      <c r="F34" s="290">
        <v>6048</v>
      </c>
      <c r="G34" s="290">
        <v>6607</v>
      </c>
      <c r="H34" s="290">
        <v>5232</v>
      </c>
      <c r="I34" s="290">
        <v>6395</v>
      </c>
      <c r="J34" s="290">
        <v>6207</v>
      </c>
    </row>
    <row r="35" spans="1:10">
      <c r="A35" s="262" t="s">
        <v>323</v>
      </c>
      <c r="B35" s="290"/>
      <c r="C35" s="290"/>
      <c r="D35" s="290"/>
      <c r="E35" s="290"/>
      <c r="F35" s="290"/>
      <c r="G35" s="290"/>
      <c r="H35" s="290"/>
      <c r="I35" s="290"/>
      <c r="J35" s="290"/>
    </row>
    <row r="36" spans="1:10">
      <c r="A36" s="262" t="s">
        <v>324</v>
      </c>
      <c r="B36" s="293">
        <v>3.6715097915350601</v>
      </c>
      <c r="C36" s="293">
        <v>4.264532984977139</v>
      </c>
      <c r="D36" s="293">
        <v>5.2307692307692308</v>
      </c>
      <c r="E36" s="293">
        <v>4.8934837092731831</v>
      </c>
      <c r="F36" s="293">
        <v>3.6090854751942616</v>
      </c>
      <c r="G36" s="293">
        <v>7.2577079697498545</v>
      </c>
      <c r="H36" s="293">
        <v>2.3071553228621293</v>
      </c>
      <c r="I36" s="293">
        <v>2.8626309662398137</v>
      </c>
      <c r="J36" s="293">
        <v>-3.3329658213891951</v>
      </c>
    </row>
    <row r="37" spans="1:10">
      <c r="A37" s="260"/>
      <c r="B37" s="261"/>
      <c r="C37" s="261"/>
      <c r="D37" s="261"/>
      <c r="E37" s="261"/>
      <c r="F37" s="261"/>
      <c r="G37" s="261"/>
      <c r="H37" s="261"/>
      <c r="I37" s="261"/>
      <c r="J37" s="261"/>
    </row>
    <row r="42" spans="1:10" ht="1.5" customHeight="1"/>
    <row r="43" spans="1:10">
      <c r="A43" s="260"/>
      <c r="B43" s="261"/>
      <c r="C43" s="261"/>
      <c r="D43" s="261"/>
      <c r="E43" s="261"/>
      <c r="F43" s="261"/>
      <c r="G43" s="261"/>
      <c r="H43" s="261"/>
      <c r="I43" s="261"/>
      <c r="J43" s="261"/>
    </row>
    <row r="44" spans="1:10">
      <c r="B44" s="261"/>
      <c r="C44" s="261"/>
      <c r="D44" s="261"/>
      <c r="E44" s="261"/>
      <c r="F44" s="261"/>
      <c r="G44" s="261"/>
      <c r="H44" s="261"/>
      <c r="I44" s="261"/>
      <c r="J44" s="261"/>
    </row>
    <row r="45" spans="1:10">
      <c r="B45" s="261"/>
      <c r="C45" s="261"/>
      <c r="D45" s="261"/>
      <c r="E45" s="261"/>
      <c r="F45" s="261"/>
      <c r="G45" s="261"/>
      <c r="H45" s="261"/>
      <c r="I45" s="261"/>
      <c r="J45" s="261"/>
    </row>
    <row r="46" spans="1:10">
      <c r="B46" s="261"/>
      <c r="C46" s="261"/>
      <c r="D46" s="261"/>
      <c r="E46" s="261"/>
      <c r="F46" s="261"/>
      <c r="G46" s="261"/>
      <c r="H46" s="261"/>
      <c r="I46" s="261"/>
      <c r="J46" s="261"/>
    </row>
    <row r="47" spans="1:10">
      <c r="B47" s="261"/>
      <c r="C47" s="261"/>
      <c r="D47" s="261"/>
      <c r="E47" s="261"/>
      <c r="F47" s="261"/>
      <c r="G47" s="261"/>
      <c r="H47" s="261"/>
      <c r="I47" s="261"/>
      <c r="J47" s="261"/>
    </row>
    <row r="48" spans="1:10">
      <c r="B48" s="261"/>
      <c r="C48" s="261"/>
      <c r="D48" s="261"/>
      <c r="E48" s="261"/>
      <c r="F48" s="261"/>
      <c r="G48" s="261"/>
      <c r="H48" s="261"/>
      <c r="I48" s="261"/>
      <c r="J48" s="261"/>
    </row>
    <row r="49" spans="2:10">
      <c r="B49" s="261"/>
      <c r="C49" s="261"/>
      <c r="D49" s="261"/>
      <c r="E49" s="261"/>
      <c r="F49" s="261"/>
      <c r="G49" s="261"/>
      <c r="H49" s="261"/>
      <c r="I49" s="261"/>
      <c r="J49" s="261"/>
    </row>
    <row r="50" spans="2:10">
      <c r="B50" s="261"/>
      <c r="C50" s="261"/>
      <c r="D50" s="261"/>
      <c r="E50" s="261"/>
      <c r="F50" s="261"/>
      <c r="G50" s="261"/>
      <c r="H50" s="261"/>
      <c r="I50" s="261"/>
      <c r="J50" s="261"/>
    </row>
  </sheetData>
  <pageMargins left="0.70866141732283472" right="0.70866141732283472" top="0.74803149606299213" bottom="0.74803149606299213" header="0.31496062992125984" footer="0.31496062992125984"/>
  <pageSetup paperSize="9" scale="99" firstPageNumber="12" orientation="landscape" useFirstPageNumber="1" r:id="rId1"/>
  <headerFooter>
    <oddFooter>&amp;L&amp;8______________________________________________________
&amp;"-,Italic"Arion Bank Factbook 31.03.2022&amp;C&amp;8&amp;P&amp;R&amp;8______________________________________________________
&amp;"-,Italic"All amounts are in ISK millions</oddFooter>
  </headerFooter>
  <colBreaks count="1" manualBreakCount="1">
    <brk id="1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Segments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Segments!Print_Area</vt:lpstr>
      <vt:lpstr>'Capital 9 quarters'!Print_Titles</vt:lpstr>
      <vt:lpstr>'KFI 9 quarters'!Print_Titles</vt:lpstr>
      <vt:lpstr>'Loans to customers 5 years'!Print_Titles</vt:lpstr>
      <vt:lpstr>'Loans to customers 9 - quarters'!Print_Titles</vt:lpstr>
      <vt:lpstr>Segments!Print_Titles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2022-05-04T14:19:50Z</cp:lastPrinted>
  <dcterms:created xsi:type="dcterms:W3CDTF">2010-04-14T10:35:17Z</dcterms:created>
  <dcterms:modified xsi:type="dcterms:W3CDTF">2022-05-04T14:20:01Z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1330867758</vt:i4>
  </property>
  <property fmtid="{D5CDD505-2E9C-101B-9397-08002B2CF9AE}" pid="3" name="_NewReviewCycle">
    <vt:lpwstr/>
  </property>
  <property fmtid="{D5CDD505-2E9C-101B-9397-08002B2CF9AE}" pid="4" name="_EmailSubject">
    <vt:lpwstr>Arion Bank - Q1 2022 Gögn til birtingar</vt:lpwstr>
  </property>
  <property fmtid="{D5CDD505-2E9C-101B-9397-08002B2CF9AE}" pid="5" name="_AuthorEmail">
    <vt:lpwstr>eggert.teitsson@arionbanki.is</vt:lpwstr>
  </property>
  <property fmtid="{D5CDD505-2E9C-101B-9397-08002B2CF9AE}" pid="6" name="_AuthorEmailDisplayName">
    <vt:lpwstr>Eggert Teitsson</vt:lpwstr>
  </property>
  <property fmtid="{D5CDD505-2E9C-101B-9397-08002B2CF9AE}" pid="7" name="_PreviousAdHocReviewCycleID">
    <vt:i4>832290517</vt:i4>
  </property>
</Properties>
</file>